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ummary" sheetId="2" state="visible" r:id="rId4"/>
    <sheet name="Rates" sheetId="3" state="visible" r:id="rId5"/>
    <sheet name="WBS" sheetId="4" state="visible" r:id="rId6"/>
    <sheet name="Gantt" sheetId="5" state="visible" r:id="rId7"/>
    <sheet name="Team" sheetId="6" state="visible" r:id="rId8"/>
    <sheet name="Risks" sheetId="7" state="visible" r:id="rId9"/>
    <sheet name="Material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<sst xmlns="http://schemas.openxmlformats.org/spreadsheetml/2006/main" count="409" uniqueCount="256">
  <si>
    <t xml:space="preserve">Lecture 15 · Robot cell (cobot + CV/AI, on-prem, Jetson, ROS 2) · estimate model</t>
  </si>
  <si>
    <t xml:space="preserve">Embedded Software Engineering, KPI · prepared 03.11.2026 · all rates, prices and durations are illustrative teaching values, not market rates.</t>
  </si>
  <si>
    <t xml:space="preserve">How to use</t>
  </si>
  <si>
    <t xml:space="preserve">Blue cells are inputs: O / M / P durations (working days), FTE allocations, rates, risks, materials, start date. Black cells are formulas; green cells link to another sheet.</t>
  </si>
  <si>
    <t xml:space="preserve">WBS: PERT expected duration E = (O + 4M + P) / 6 and sigma = (P − O) / 6; ES/EF forward pass, LS/LF backward pass, float and the critical path recalculate when you change inputs.</t>
  </si>
  <si>
    <t xml:space="preserve">Gantt: the week grid is drawn by conditional formatting from ES/EF; the critical path is shown in bold.</t>
  </si>
  <si>
    <t xml:space="preserve">Team: person-days by role = Σ (E × FTE) + PM level of effort over the project length; cost and sell = person-days × rate.</t>
  </si>
  <si>
    <t xml:space="preserve">Risks: expected value (EMV) = probability × impact. Summary: P50/P80 are pasted from the Monte Carlo script (20 000 runs) and are NOT live — rerun model.py after changing inputs.</t>
  </si>
  <si>
    <t xml:space="preserve">Example row format (WBS): 2.4 | 2 | WP | Tool PCB: schematic, PCB, BoM | work | 10 | 15 | 22 | deps 2.2 | HW 1.0</t>
  </si>
  <si>
    <t xml:space="preserve">Units: durations in working days (5 per week), money in EUR.</t>
  </si>
  <si>
    <t xml:space="preserve">Full estimate and full timing</t>
  </si>
  <si>
    <t xml:space="preserve">Schedule</t>
  </si>
  <si>
    <t xml:space="preserve">Working days</t>
  </si>
  <si>
    <t xml:space="preserve">Weeks</t>
  </si>
  <si>
    <t xml:space="preserve">Date</t>
  </si>
  <si>
    <t xml:space="preserve">Most-likely plan (CPM on M)</t>
  </si>
  <si>
    <t xml:space="preserve">PERT plan (live, CPM on E)</t>
  </si>
  <si>
    <t xml:space="preserve">Monte Carlo P50</t>
  </si>
  <si>
    <t xml:space="preserve">Monte Carlo P80 = commitment</t>
  </si>
  <si>
    <t xml:space="preserve">Monte Carlo P90</t>
  </si>
  <si>
    <t xml:space="preserve">Blue values come from model.py (Monte Carlo, 20 000 runs) and are not live.</t>
  </si>
  <si>
    <t xml:space="preserve">Price by phase</t>
  </si>
  <si>
    <t xml:space="preserve">Model</t>
  </si>
  <si>
    <t xml:space="preserve">Labour sell P50, €</t>
  </si>
  <si>
    <t xml:space="preserve">Labour sell P80, €</t>
  </si>
  <si>
    <t xml:space="preserve">Estimate / price, €</t>
  </si>
  <si>
    <t xml:space="preserve">Upper bound, €</t>
  </si>
  <si>
    <t xml:space="preserve">Rule</t>
  </si>
  <si>
    <t xml:space="preserve">R&amp;D</t>
  </si>
  <si>
    <t xml:space="preserve">FP</t>
  </si>
  <si>
    <t xml:space="preserve">FP = P80 × (1 + premium)</t>
  </si>
  <si>
    <t xml:space="preserve">PoC</t>
  </si>
  <si>
    <t xml:space="preserve">MVP</t>
  </si>
  <si>
    <t xml:space="preserve">T&amp;M^</t>
  </si>
  <si>
    <t xml:space="preserve">estimate = P50, cap = P80</t>
  </si>
  <si>
    <t xml:space="preserve">Working packages (engineering)</t>
  </si>
  <si>
    <t xml:space="preserve">Finalisation</t>
  </si>
  <si>
    <t xml:space="preserve">PoC kit (materials, pass-through)</t>
  </si>
  <si>
    <t xml:space="preserve">T&amp;M</t>
  </si>
  <si>
    <t xml:space="preserve">cost × (1 + fee)</t>
  </si>
  <si>
    <t xml:space="preserve">Materials and vendors for working packages</t>
  </si>
  <si>
    <t xml:space="preserve">Total</t>
  </si>
  <si>
    <t xml:space="preserve">Internal check: labour cost P50 / P80, € (model.py)</t>
  </si>
  <si>
    <t xml:space="preserve">Internal check: deterministic labour cost / sell (live)</t>
  </si>
  <si>
    <t xml:space="preserve">All values are illustrative teaching numbers for lecture 15; they are not a quotation.</t>
  </si>
  <si>
    <t xml:space="preserve">Role</t>
  </si>
  <si>
    <t xml:space="preserve">Name</t>
  </si>
  <si>
    <t xml:space="preserve">Cost per day, €</t>
  </si>
  <si>
    <t xml:space="preserve">Sell (T&amp;M) per day, €</t>
  </si>
  <si>
    <t xml:space="preserve">Sell / cost</t>
  </si>
  <si>
    <t xml:space="preserve">PM</t>
  </si>
  <si>
    <t xml:space="preserve">Delivery / engineering manager</t>
  </si>
  <si>
    <t xml:space="preserve">SA</t>
  </si>
  <si>
    <t xml:space="preserve">System architect</t>
  </si>
  <si>
    <t xml:space="preserve">ROS</t>
  </si>
  <si>
    <t xml:space="preserve">Robotics engineer (ROS 2, MoveIt 2)</t>
  </si>
  <si>
    <t xml:space="preserve">CV</t>
  </si>
  <si>
    <t xml:space="preserve">CV/ML engineer</t>
  </si>
  <si>
    <t xml:space="preserve">SW</t>
  </si>
  <si>
    <t xml:space="preserve">Software engineer (HMI, on-prem, MLOps)</t>
  </si>
  <si>
    <t xml:space="preserve">FW</t>
  </si>
  <si>
    <t xml:space="preserve">Firmware engineer</t>
  </si>
  <si>
    <t xml:space="preserve">HW</t>
  </si>
  <si>
    <t xml:space="preserve">Hardware engineer</t>
  </si>
  <si>
    <t xml:space="preserve">ME</t>
  </si>
  <si>
    <t xml:space="preserve">Mechanical engineer</t>
  </si>
  <si>
    <t xml:space="preserve">SAF</t>
  </si>
  <si>
    <t xml:space="preserve">Safety engineer (part-time)</t>
  </si>
  <si>
    <t xml:space="preserve">QA</t>
  </si>
  <si>
    <t xml:space="preserve">V&amp;V / test engineer</t>
  </si>
  <si>
    <t xml:space="preserve">TECH</t>
  </si>
  <si>
    <t xml:space="preserve">Technician (assembly, harness)</t>
  </si>
  <si>
    <t xml:space="preserve">PROC</t>
  </si>
  <si>
    <t xml:space="preserve">Procurement manager</t>
  </si>
  <si>
    <t xml:space="preserve">PM level of effort (FTE over whole project)</t>
  </si>
  <si>
    <t xml:space="preserve">Procurement handling fee on pass-through</t>
  </si>
  <si>
    <t xml:space="preserve">FP premium for penalty exposure</t>
  </si>
  <si>
    <t xml:space="preserve">Project start date (Monday)</t>
  </si>
  <si>
    <t xml:space="preserve">Rates are illustrative course values (cf. lecture 12: 400 USD/day example), not market data.</t>
  </si>
  <si>
    <t xml:space="preserve">WBS, PERT and critical path (durations in working days)</t>
  </si>
  <si>
    <t xml:space="preserve">sell rate →</t>
  </si>
  <si>
    <t xml:space="preserve">cost rate →</t>
  </si>
  <si>
    <t xml:space="preserve">ID</t>
  </si>
  <si>
    <t xml:space="preserve">Epic</t>
  </si>
  <si>
    <t xml:space="preserve">Phase</t>
  </si>
  <si>
    <t xml:space="preserve">Task</t>
  </si>
  <si>
    <t xml:space="preserve">Kind</t>
  </si>
  <si>
    <t xml:space="preserve">Depends on</t>
  </si>
  <si>
    <t xml:space="preserve">Gate</t>
  </si>
  <si>
    <t xml:space="preserve">O</t>
  </si>
  <si>
    <t xml:space="preserve">M</t>
  </si>
  <si>
    <t xml:space="preserve">P</t>
  </si>
  <si>
    <t xml:space="preserve">E (PERT)</t>
  </si>
  <si>
    <t xml:space="preserve">σ</t>
  </si>
  <si>
    <t xml:space="preserve">ES</t>
  </si>
  <si>
    <t xml:space="preserve">EF</t>
  </si>
  <si>
    <t xml:space="preserve">LS</t>
  </si>
  <si>
    <t xml:space="preserve">LF</t>
  </si>
  <si>
    <t xml:space="preserve">Float</t>
  </si>
  <si>
    <t xml:space="preserve">Critical</t>
  </si>
  <si>
    <t xml:space="preserve">Effort, pd</t>
  </si>
  <si>
    <t xml:space="preserve">Cost, €</t>
  </si>
  <si>
    <t xml:space="preserve">Sell, €</t>
  </si>
  <si>
    <t xml:space="preserve">1.1</t>
  </si>
  <si>
    <t xml:space="preserve">Discovery: site, parts, IT policy</t>
  </si>
  <si>
    <t xml:space="preserve">work</t>
  </si>
  <si>
    <t xml:space="preserve">G1</t>
  </si>
  <si>
    <t xml:space="preserve">1.2</t>
  </si>
  <si>
    <t xml:space="preserve">System requirements + acceptance</t>
  </si>
  <si>
    <t xml:space="preserve">G2</t>
  </si>
  <si>
    <t xml:space="preserve">1.3</t>
  </si>
  <si>
    <t xml:space="preserve">Architecture (ROS graph, compute)</t>
  </si>
  <si>
    <t xml:space="preserve">1.4</t>
  </si>
  <si>
    <t xml:space="preserve">HARA + project risk register</t>
  </si>
  <si>
    <t xml:space="preserve">1.5</t>
  </si>
  <si>
    <t xml:space="preserve">PoC kit: Jetson, cameras, parts</t>
  </si>
  <si>
    <t xml:space="preserve">wait</t>
  </si>
  <si>
    <t xml:space="preserve">1.6</t>
  </si>
  <si>
    <t xml:space="preserve">PoC-A: inference on Jetson</t>
  </si>
  <si>
    <t xml:space="preserve">1.4, 1.5</t>
  </si>
  <si>
    <t xml:space="preserve">1.7</t>
  </si>
  <si>
    <t xml:space="preserve">PoC-B: grasp with ROS 2 + MoveIt 2</t>
  </si>
  <si>
    <t xml:space="preserve">1.8</t>
  </si>
  <si>
    <t xml:space="preserve">PoC review</t>
  </si>
  <si>
    <t xml:space="preserve">1.6, 1.7</t>
  </si>
  <si>
    <t xml:space="preserve">G3</t>
  </si>
  <si>
    <t xml:space="preserve">1.9</t>
  </si>
  <si>
    <t xml:space="preserve">MVP: one part type, bench + sim</t>
  </si>
  <si>
    <t xml:space="preserve">2.1</t>
  </si>
  <si>
    <t xml:space="preserve">WP</t>
  </si>
  <si>
    <t xml:space="preserve">Detailed SW/HW/Mech requirements</t>
  </si>
  <si>
    <t xml:space="preserve">2.2</t>
  </si>
  <si>
    <t xml:space="preserve">HW load + component search</t>
  </si>
  <si>
    <t xml:space="preserve">G4</t>
  </si>
  <si>
    <t xml:space="preserve">2.3</t>
  </si>
  <si>
    <t xml:space="preserve">Long-lead: cobot, Jetson, scanner</t>
  </si>
  <si>
    <t xml:space="preserve">2.4</t>
  </si>
  <si>
    <t xml:space="preserve">Tool PCB: schematic, PCB, BoM</t>
  </si>
  <si>
    <t xml:space="preserve">2.5</t>
  </si>
  <si>
    <t xml:space="preserve">HW review (peer + FW)</t>
  </si>
  <si>
    <t xml:space="preserve">2.6</t>
  </si>
  <si>
    <t xml:space="preserve">Mech design: tool, frame, guarding</t>
  </si>
  <si>
    <t xml:space="preserve">2.7</t>
  </si>
  <si>
    <t xml:space="preserve">Mech review + rework + all hands</t>
  </si>
  <si>
    <t xml:space="preserve">2.5, 2.6</t>
  </si>
  <si>
    <t xml:space="preserve">2.8</t>
  </si>
  <si>
    <t xml:space="preserve">PCB manufacturing (vendor)</t>
  </si>
  <si>
    <t xml:space="preserve">2.9</t>
  </si>
  <si>
    <t xml:space="preserve">Mech manufacturing (vendor)</t>
  </si>
  <si>
    <t xml:space="preserve">2.10</t>
  </si>
  <si>
    <t xml:space="preserve">Standard parts + harness materials</t>
  </si>
  <si>
    <t xml:space="preserve">2.11</t>
  </si>
  <si>
    <t xml:space="preserve">Tool FW on dev board</t>
  </si>
  <si>
    <t xml:space="preserve">2.12</t>
  </si>
  <si>
    <t xml:space="preserve">Cabinet + harness build</t>
  </si>
  <si>
    <t xml:space="preserve">2.13</t>
  </si>
  <si>
    <t xml:space="preserve">Assembly + review + rework</t>
  </si>
  <si>
    <t xml:space="preserve">2.8, 2.9, 2.10</t>
  </si>
  <si>
    <t xml:space="preserve">2.14</t>
  </si>
  <si>
    <t xml:space="preserve">FW on real HW + bench test</t>
  </si>
  <si>
    <t xml:space="preserve">2.11, 2.13</t>
  </si>
  <si>
    <t xml:space="preserve">2.15</t>
  </si>
  <si>
    <t xml:space="preserve">Cell SW: orchestration, HMI, logs</t>
  </si>
  <si>
    <t xml:space="preserve">2.16</t>
  </si>
  <si>
    <t xml:space="preserve">Dataset v1 + 3 training iterations</t>
  </si>
  <si>
    <t xml:space="preserve">2.17</t>
  </si>
  <si>
    <t xml:space="preserve">On-prem GPU server, registry, OTA</t>
  </si>
  <si>
    <t xml:space="preserve">3.1</t>
  </si>
  <si>
    <t xml:space="preserve">Cell integration at our site</t>
  </si>
  <si>
    <t xml:space="preserve">2.3, 2.12, 2.14, 2.15, 2.17</t>
  </si>
  <si>
    <t xml:space="preserve">3.2</t>
  </si>
  <si>
    <t xml:space="preserve">Safety validation</t>
  </si>
  <si>
    <t xml:space="preserve">3.3</t>
  </si>
  <si>
    <t xml:space="preserve">Tuning: cycle time, accuracy</t>
  </si>
  <si>
    <t xml:space="preserve">3.1, 2.16</t>
  </si>
  <si>
    <t xml:space="preserve">3.4</t>
  </si>
  <si>
    <t xml:space="preserve">FAT with customer</t>
  </si>
  <si>
    <t xml:space="preserve">3.2, 3.3</t>
  </si>
  <si>
    <t xml:space="preserve">FAT</t>
  </si>
  <si>
    <t xml:space="preserve">3.5</t>
  </si>
  <si>
    <t xml:space="preserve">Shipping + customs</t>
  </si>
  <si>
    <t xml:space="preserve">3.6</t>
  </si>
  <si>
    <t xml:space="preserve">Installation + commissioning</t>
  </si>
  <si>
    <t xml:space="preserve">3.7</t>
  </si>
  <si>
    <t xml:space="preserve">SAT + 2-week pilot run</t>
  </si>
  <si>
    <t xml:space="preserve">SAT</t>
  </si>
  <si>
    <t xml:space="preserve">3.8</t>
  </si>
  <si>
    <t xml:space="preserve">Final</t>
  </si>
  <si>
    <t xml:space="preserve">Docs, training, handover</t>
  </si>
  <si>
    <t xml:space="preserve">Project finish (working days)</t>
  </si>
  <si>
    <t xml:space="preserve">Gantt (weeks). Bars from WBS ES/EF via conditional formatting; bold = critical path.</t>
  </si>
  <si>
    <t xml:space="preserve">Crit.</t>
  </si>
  <si>
    <t xml:space="preserve">Person-days</t>
  </si>
  <si>
    <t xml:space="preserve">Cost rate</t>
  </si>
  <si>
    <t xml:space="preserve">Sell rate</t>
  </si>
  <si>
    <t xml:space="preserve">Peak FTE (model.py)</t>
  </si>
  <si>
    <t xml:space="preserve">Weeks active (model.py)</t>
  </si>
  <si>
    <t xml:space="preserve">1–40</t>
  </si>
  <si>
    <t xml:space="preserve">1–39</t>
  </si>
  <si>
    <t xml:space="preserve">4–40</t>
  </si>
  <si>
    <t xml:space="preserve">10–30</t>
  </si>
  <si>
    <t xml:space="preserve">4–36</t>
  </si>
  <si>
    <t xml:space="preserve">6–25</t>
  </si>
  <si>
    <t xml:space="preserve">2–31</t>
  </si>
  <si>
    <t xml:space="preserve">2–40</t>
  </si>
  <si>
    <t xml:space="preserve">13–36</t>
  </si>
  <si>
    <t xml:space="preserve">2–35</t>
  </si>
  <si>
    <t xml:space="preserve">Average sell / cost</t>
  </si>
  <si>
    <t xml:space="preserve">Peak FTE and weeks come from the weekly loading in model.py (static).</t>
  </si>
  <si>
    <t xml:space="preserve">Risk</t>
  </si>
  <si>
    <t xml:space="preserve">Task hit</t>
  </si>
  <si>
    <t xml:space="preserve">Probability</t>
  </si>
  <si>
    <t xml:space="preserve">Impact, days</t>
  </si>
  <si>
    <t xml:space="preserve">Direct cost, €</t>
  </si>
  <si>
    <t xml:space="preserve">EMV, days</t>
  </si>
  <si>
    <t xml:space="preserve">EMV, €</t>
  </si>
  <si>
    <t xml:space="preserve">Task float, days</t>
  </si>
  <si>
    <t xml:space="preserve">On critical path?</t>
  </si>
  <si>
    <t xml:space="preserve">R1</t>
  </si>
  <si>
    <t xml:space="preserve">Long-lead slip: Jetson production module / cobot</t>
  </si>
  <si>
    <t xml:space="preserve">R2</t>
  </si>
  <si>
    <t xml:space="preserve">Accuracy below target on reflective parts: extra training iteration</t>
  </si>
  <si>
    <t xml:space="preserve">R3</t>
  </si>
  <si>
    <t xml:space="preserve">Second PCB spin</t>
  </si>
  <si>
    <t xml:space="preserve">R4</t>
  </si>
  <si>
    <t xml:space="preserve">Customer IT security approval for on-prem server</t>
  </si>
  <si>
    <t xml:space="preserve">R5</t>
  </si>
  <si>
    <t xml:space="preserve">ROS 2 driver for the chosen cobot immature</t>
  </si>
  <si>
    <t xml:space="preserve">R6</t>
  </si>
  <si>
    <t xml:space="preserve">Risk assessment demands extra safety device</t>
  </si>
  <si>
    <t xml:space="preserve">R7</t>
  </si>
  <si>
    <t xml:space="preserve">Key CV engineer leaves</t>
  </si>
  <si>
    <t xml:space="preserve">R8</t>
  </si>
  <si>
    <t xml:space="preserve">Shipping / customs delay</t>
  </si>
  <si>
    <t xml:space="preserve">Sum of EMV (naive contingency)</t>
  </si>
  <si>
    <t xml:space="preserve">Monte Carlo: risks add to the finish (days), P50 / P80</t>
  </si>
  <si>
    <t xml:space="preserve">A risk hitting a task with enough float does not move the finish: that is why the simulated impact is smaller than the naive sum.</t>
  </si>
  <si>
    <t xml:space="preserve">Item</t>
  </si>
  <si>
    <t xml:space="preserve">Group</t>
  </si>
  <si>
    <t xml:space="preserve">Amount, €</t>
  </si>
  <si>
    <t xml:space="preserve">With handling fee, €</t>
  </si>
  <si>
    <t xml:space="preserve">PoC kit: Jetson dev kit, 2 cameras, lighting, sample parts</t>
  </si>
  <si>
    <t xml:space="preserve">Materials</t>
  </si>
  <si>
    <t xml:space="preserve">Collaborative 6-DoF robot (pilot cell)</t>
  </si>
  <si>
    <t xml:space="preserve">Jetson production module + carrier + enclosure</t>
  </si>
  <si>
    <t xml:space="preserve">Safety laser scanner + safety relay</t>
  </si>
  <si>
    <t xml:space="preserve">Production cameras + lighting</t>
  </si>
  <si>
    <t xml:space="preserve">On-prem GPU training server</t>
  </si>
  <si>
    <t xml:space="preserve">Electrical cabinet components</t>
  </si>
  <si>
    <t xml:space="preserve">End-effector BoM: vacuum, gripper actuators</t>
  </si>
  <si>
    <t xml:space="preserve">PCB fabrication + assembly, 2 runs</t>
  </si>
  <si>
    <t xml:space="preserve">Vendors</t>
  </si>
  <si>
    <t xml:space="preserve">Mechanical fabrication: tool, frame, guarding</t>
  </si>
  <si>
    <t xml:space="preserve">Harness materials (built in-house)</t>
  </si>
  <si>
    <t xml:space="preserve">Shipping, customs, logistics</t>
  </si>
  <si>
    <t xml:space="preserve">Illustrative amounts for the exercise; check real quotes on the RFQ date. Expensive items may be customer-furnished (CFE).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</si>
</sst>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;\(0.0\);\-"/>
    <numFmt numFmtId="166" formatCode="dd\.mm\.yyyy"/>
    <numFmt numFmtId="167" formatCode="#,##0&quot; €&quot;;\(#,##0&quot; €)&quot;;\-"/>
    <numFmt numFmtId="168" formatCode="0.00\x"/>
    <numFmt numFmtId="169" formatCode="0.0%"/>
    <numFmt numFmtId="170" formatCode="0"/>
    <numFmt numFmtId="171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i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FFFFCC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2A78D6"/>
        </patternFill>
      </fill>
    </dxf>
    <dxf>
      <fill>
        <patternFill>
          <bgColor rgb="FFEB6834"/>
        </patternFill>
      </fill>
    </dxf>
    <dxf>
      <fill>
        <patternFill>
          <bgColor rgb="FF1BAF7A"/>
        </patternFill>
      </fill>
    </dxf>
    <dxf>
      <font>
        <name val="Arial"/>
        <charset val="1"/>
        <family val="0"/>
        <b val="1"/>
      </font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A78D6"/>
      <rgbColor rgb="FF33CCCC"/>
      <rgbColor rgb="FF99CC00"/>
      <rgbColor rgb="FFFFCC00"/>
      <rgbColor rgb="FFFF9900"/>
      <rgbColor rgb="FFEB6834"/>
      <rgbColor rgb="FF666699"/>
      <rgbColor rgb="FF969696"/>
      <rgbColor rgb="FF003366"/>
      <rgbColor rgb="FF1BAF7A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1" t="s">
        <v>2</v>
      </c>
    </row>
    <row r="5" customFormat="false" ht="26.85" hidden="false" customHeight="false" outlineLevel="0" collapsed="false">
      <c r="A5" s="2" t="s">
        <v>3</v>
      </c>
    </row>
    <row r="6" customFormat="false" ht="26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26.85" hidden="false" customHeight="false" outlineLevel="0" collapsed="false">
      <c r="A8" s="2" t="s">
        <v>6</v>
      </c>
    </row>
    <row r="9" customFormat="false" ht="26.8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6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3" t="s">
        <v>10</v>
      </c>
    </row>
    <row r="3" customFormat="false" ht="15" hidden="false" customHeight="false" outlineLevel="0" collapsed="false">
      <c r="A3" s="4" t="s">
        <v>11</v>
      </c>
      <c r="B3" s="4" t="s">
        <v>12</v>
      </c>
      <c r="C3" s="4" t="s">
        <v>13</v>
      </c>
      <c r="D3" s="4" t="s">
        <v>14</v>
      </c>
    </row>
    <row r="4" customFormat="false" ht="15" hidden="false" customHeight="false" outlineLevel="0" collapsed="false">
      <c r="A4" s="5" t="s">
        <v>15</v>
      </c>
      <c r="B4" s="6" t="n">
        <v>186</v>
      </c>
      <c r="C4" s="7" t="n">
        <f aca="false">B4/5</f>
        <v>37.2</v>
      </c>
      <c r="D4" s="8" t="n">
        <f aca="false">WORKDAY(Rates!$C$18,ROUND(B4,0))</f>
        <v>46658</v>
      </c>
    </row>
    <row r="5" customFormat="false" ht="15" hidden="false" customHeight="false" outlineLevel="0" collapsed="false">
      <c r="A5" s="5" t="s">
        <v>16</v>
      </c>
      <c r="B5" s="9" t="n">
        <f aca="false">WBS!$N$38</f>
        <v>195.666666666667</v>
      </c>
      <c r="C5" s="7" t="n">
        <f aca="false">B5/5</f>
        <v>39.1333333333333</v>
      </c>
      <c r="D5" s="8" t="n">
        <f aca="false">WORKDAY(Rates!$C$18,ROUND(B5,0))</f>
        <v>46672</v>
      </c>
    </row>
    <row r="6" customFormat="false" ht="15" hidden="false" customHeight="false" outlineLevel="0" collapsed="false">
      <c r="A6" s="5" t="s">
        <v>17</v>
      </c>
      <c r="B6" s="6" t="n">
        <v>220.4</v>
      </c>
      <c r="C6" s="7" t="n">
        <f aca="false">B6/5</f>
        <v>44.08</v>
      </c>
      <c r="D6" s="8" t="n">
        <f aca="false">WORKDAY(Rates!$C$18,ROUND(B6,0))</f>
        <v>46706</v>
      </c>
    </row>
    <row r="7" customFormat="false" ht="15" hidden="false" customHeight="false" outlineLevel="0" collapsed="false">
      <c r="A7" s="5" t="s">
        <v>18</v>
      </c>
      <c r="B7" s="6" t="n">
        <v>235.3</v>
      </c>
      <c r="C7" s="7" t="n">
        <f aca="false">B7/5</f>
        <v>47.06</v>
      </c>
      <c r="D7" s="8" t="n">
        <f aca="false">WORKDAY(Rates!$C$18,ROUND(B7,0))</f>
        <v>46727</v>
      </c>
    </row>
    <row r="8" customFormat="false" ht="15" hidden="false" customHeight="false" outlineLevel="0" collapsed="false">
      <c r="A8" s="5" t="s">
        <v>19</v>
      </c>
      <c r="B8" s="6" t="n">
        <v>243</v>
      </c>
      <c r="C8" s="7" t="n">
        <f aca="false">B8/5</f>
        <v>48.6</v>
      </c>
      <c r="D8" s="8" t="n">
        <f aca="false">WORKDAY(Rates!$C$18,ROUND(B8,0))</f>
        <v>46737</v>
      </c>
    </row>
    <row r="9" customFormat="false" ht="15" hidden="false" customHeight="false" outlineLevel="0" collapsed="false">
      <c r="A9" s="10" t="s">
        <v>20</v>
      </c>
    </row>
    <row r="11" customFormat="false" ht="26.85" hidden="false" customHeight="false" outlineLevel="0" collapsed="false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</row>
    <row r="12" customFormat="false" ht="15" hidden="false" customHeight="false" outlineLevel="0" collapsed="false">
      <c r="A12" s="5" t="s">
        <v>28</v>
      </c>
      <c r="B12" s="5" t="s">
        <v>29</v>
      </c>
      <c r="C12" s="11" t="n">
        <v>46500</v>
      </c>
      <c r="D12" s="11" t="n">
        <v>51200</v>
      </c>
      <c r="E12" s="12" t="n">
        <f aca="false">ROUND(D12*(1+Rates!$C$17),-2)</f>
        <v>56300</v>
      </c>
      <c r="F12" s="12" t="n">
        <f aca="false">E12</f>
        <v>56300</v>
      </c>
      <c r="G12" s="5" t="s">
        <v>30</v>
      </c>
    </row>
    <row r="13" customFormat="false" ht="15" hidden="false" customHeight="false" outlineLevel="0" collapsed="false">
      <c r="A13" s="5" t="s">
        <v>31</v>
      </c>
      <c r="B13" s="5" t="s">
        <v>29</v>
      </c>
      <c r="C13" s="11" t="n">
        <v>35000</v>
      </c>
      <c r="D13" s="11" t="n">
        <v>39400</v>
      </c>
      <c r="E13" s="12" t="n">
        <f aca="false">ROUND(D13*(1+Rates!$C$17),-2)</f>
        <v>43300</v>
      </c>
      <c r="F13" s="12" t="n">
        <f aca="false">E13</f>
        <v>43300</v>
      </c>
      <c r="G13" s="5" t="s">
        <v>30</v>
      </c>
    </row>
    <row r="14" customFormat="false" ht="15" hidden="false" customHeight="false" outlineLevel="0" collapsed="false">
      <c r="A14" s="5" t="s">
        <v>32</v>
      </c>
      <c r="B14" s="5" t="s">
        <v>33</v>
      </c>
      <c r="C14" s="11" t="n">
        <v>28900</v>
      </c>
      <c r="D14" s="11" t="n">
        <v>33300</v>
      </c>
      <c r="E14" s="12" t="n">
        <f aca="false">C14</f>
        <v>28900</v>
      </c>
      <c r="F14" s="12" t="n">
        <f aca="false">D14</f>
        <v>33300</v>
      </c>
      <c r="G14" s="5" t="s">
        <v>34</v>
      </c>
    </row>
    <row r="15" customFormat="false" ht="15" hidden="false" customHeight="false" outlineLevel="0" collapsed="false">
      <c r="A15" s="5" t="s">
        <v>35</v>
      </c>
      <c r="B15" s="5" t="s">
        <v>33</v>
      </c>
      <c r="C15" s="11" t="n">
        <v>267500</v>
      </c>
      <c r="D15" s="11" t="n">
        <v>286800</v>
      </c>
      <c r="E15" s="12" t="n">
        <f aca="false">C15</f>
        <v>267500</v>
      </c>
      <c r="F15" s="12" t="n">
        <f aca="false">D15</f>
        <v>286800</v>
      </c>
      <c r="G15" s="5" t="s">
        <v>34</v>
      </c>
    </row>
    <row r="16" customFormat="false" ht="15" hidden="false" customHeight="false" outlineLevel="0" collapsed="false">
      <c r="A16" s="5" t="s">
        <v>36</v>
      </c>
      <c r="B16" s="5" t="s">
        <v>29</v>
      </c>
      <c r="C16" s="11" t="n">
        <v>6400</v>
      </c>
      <c r="D16" s="11" t="n">
        <v>7400</v>
      </c>
      <c r="E16" s="12" t="n">
        <f aca="false">ROUND(D16*(1+Rates!$C$17),-2)</f>
        <v>8100</v>
      </c>
      <c r="F16" s="12" t="n">
        <f aca="false">E16</f>
        <v>8100</v>
      </c>
      <c r="G16" s="5" t="s">
        <v>30</v>
      </c>
    </row>
    <row r="17" customFormat="false" ht="15" hidden="false" customHeight="false" outlineLevel="0" collapsed="false">
      <c r="A17" s="5" t="s">
        <v>37</v>
      </c>
      <c r="B17" s="5" t="s">
        <v>38</v>
      </c>
      <c r="E17" s="13" t="n">
        <f aca="false">ROUND(Materials!E2,-2)</f>
        <v>5000</v>
      </c>
      <c r="F17" s="12" t="n">
        <f aca="false">E17</f>
        <v>5000</v>
      </c>
      <c r="G17" s="5" t="s">
        <v>39</v>
      </c>
    </row>
    <row r="18" customFormat="false" ht="15" hidden="false" customHeight="false" outlineLevel="0" collapsed="false">
      <c r="A18" s="5" t="s">
        <v>40</v>
      </c>
      <c r="B18" s="5" t="s">
        <v>38</v>
      </c>
      <c r="E18" s="13" t="n">
        <f aca="false">ROUND(Materials!E14-Materials!E2,-2)</f>
        <v>79500</v>
      </c>
      <c r="F18" s="12" t="n">
        <f aca="false">E18</f>
        <v>79500</v>
      </c>
      <c r="G18" s="5" t="s">
        <v>39</v>
      </c>
    </row>
    <row r="19" customFormat="false" ht="15" hidden="false" customHeight="false" outlineLevel="0" collapsed="false">
      <c r="A19" s="3" t="s">
        <v>41</v>
      </c>
      <c r="E19" s="14" t="n">
        <f aca="false">SUM(E12:E18)</f>
        <v>488600</v>
      </c>
      <c r="F19" s="14" t="n">
        <f aca="false">SUM(F12:F18)</f>
        <v>512300</v>
      </c>
    </row>
    <row r="21" customFormat="false" ht="15" hidden="false" customHeight="false" outlineLevel="0" collapsed="false">
      <c r="A21" s="5" t="s">
        <v>42</v>
      </c>
      <c r="C21" s="11" t="n">
        <v>213500</v>
      </c>
      <c r="D21" s="11" t="n">
        <v>228000</v>
      </c>
    </row>
    <row r="22" customFormat="false" ht="15" hidden="false" customHeight="false" outlineLevel="0" collapsed="false">
      <c r="A22" s="5" t="s">
        <v>43</v>
      </c>
      <c r="C22" s="13" t="n">
        <f aca="false">Team!F14</f>
        <v>192974.333333333</v>
      </c>
      <c r="D22" s="13" t="n">
        <f aca="false">Team!G14</f>
        <v>347448.833333333</v>
      </c>
    </row>
    <row r="24" customFormat="false" ht="15" hidden="false" customHeight="false" outlineLevel="0" collapsed="false">
      <c r="A24" s="10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2"/>
  </cols>
  <sheetData>
    <row r="1" customFormat="false" ht="26.85" hidden="false" customHeight="false" outlineLevel="0" collapsed="false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</row>
    <row r="2" customFormat="false" ht="15" hidden="false" customHeight="false" outlineLevel="0" collapsed="false">
      <c r="A2" s="15" t="s">
        <v>50</v>
      </c>
      <c r="B2" s="15" t="s">
        <v>51</v>
      </c>
      <c r="C2" s="11" t="n">
        <v>300</v>
      </c>
      <c r="D2" s="11" t="n">
        <v>540</v>
      </c>
      <c r="E2" s="16" t="n">
        <f aca="false">D2/C2</f>
        <v>1.8</v>
      </c>
    </row>
    <row r="3" customFormat="false" ht="15" hidden="false" customHeight="false" outlineLevel="0" collapsed="false">
      <c r="A3" s="15" t="s">
        <v>52</v>
      </c>
      <c r="B3" s="15" t="s">
        <v>53</v>
      </c>
      <c r="C3" s="11" t="n">
        <v>340</v>
      </c>
      <c r="D3" s="11" t="n">
        <v>610</v>
      </c>
      <c r="E3" s="16" t="n">
        <f aca="false">D3/C3</f>
        <v>1.79411764705882</v>
      </c>
    </row>
    <row r="4" customFormat="false" ht="15" hidden="false" customHeight="false" outlineLevel="0" collapsed="false">
      <c r="A4" s="15" t="s">
        <v>54</v>
      </c>
      <c r="B4" s="15" t="s">
        <v>55</v>
      </c>
      <c r="C4" s="11" t="n">
        <v>300</v>
      </c>
      <c r="D4" s="11" t="n">
        <v>540</v>
      </c>
      <c r="E4" s="16" t="n">
        <f aca="false">D4/C4</f>
        <v>1.8</v>
      </c>
    </row>
    <row r="5" customFormat="false" ht="15" hidden="false" customHeight="false" outlineLevel="0" collapsed="false">
      <c r="A5" s="15" t="s">
        <v>56</v>
      </c>
      <c r="B5" s="15" t="s">
        <v>57</v>
      </c>
      <c r="C5" s="11" t="n">
        <v>320</v>
      </c>
      <c r="D5" s="11" t="n">
        <v>580</v>
      </c>
      <c r="E5" s="16" t="n">
        <f aca="false">D5/C5</f>
        <v>1.8125</v>
      </c>
    </row>
    <row r="6" customFormat="false" ht="15" hidden="false" customHeight="false" outlineLevel="0" collapsed="false">
      <c r="A6" s="15" t="s">
        <v>58</v>
      </c>
      <c r="B6" s="15" t="s">
        <v>59</v>
      </c>
      <c r="C6" s="11" t="n">
        <v>260</v>
      </c>
      <c r="D6" s="11" t="n">
        <v>470</v>
      </c>
      <c r="E6" s="16" t="n">
        <f aca="false">D6/C6</f>
        <v>1.80769230769231</v>
      </c>
    </row>
    <row r="7" customFormat="false" ht="15" hidden="false" customHeight="false" outlineLevel="0" collapsed="false">
      <c r="A7" s="15" t="s">
        <v>60</v>
      </c>
      <c r="B7" s="15" t="s">
        <v>61</v>
      </c>
      <c r="C7" s="11" t="n">
        <v>280</v>
      </c>
      <c r="D7" s="11" t="n">
        <v>500</v>
      </c>
      <c r="E7" s="16" t="n">
        <f aca="false">D7/C7</f>
        <v>1.78571428571429</v>
      </c>
    </row>
    <row r="8" customFormat="false" ht="15" hidden="false" customHeight="false" outlineLevel="0" collapsed="false">
      <c r="A8" s="15" t="s">
        <v>62</v>
      </c>
      <c r="B8" s="15" t="s">
        <v>63</v>
      </c>
      <c r="C8" s="11" t="n">
        <v>280</v>
      </c>
      <c r="D8" s="11" t="n">
        <v>500</v>
      </c>
      <c r="E8" s="16" t="n">
        <f aca="false">D8/C8</f>
        <v>1.78571428571429</v>
      </c>
    </row>
    <row r="9" customFormat="false" ht="15" hidden="false" customHeight="false" outlineLevel="0" collapsed="false">
      <c r="A9" s="15" t="s">
        <v>64</v>
      </c>
      <c r="B9" s="15" t="s">
        <v>65</v>
      </c>
      <c r="C9" s="11" t="n">
        <v>250</v>
      </c>
      <c r="D9" s="11" t="n">
        <v>450</v>
      </c>
      <c r="E9" s="16" t="n">
        <f aca="false">D9/C9</f>
        <v>1.8</v>
      </c>
    </row>
    <row r="10" customFormat="false" ht="15" hidden="false" customHeight="false" outlineLevel="0" collapsed="false">
      <c r="A10" s="15" t="s">
        <v>66</v>
      </c>
      <c r="B10" s="15" t="s">
        <v>67</v>
      </c>
      <c r="C10" s="11" t="n">
        <v>360</v>
      </c>
      <c r="D10" s="11" t="n">
        <v>650</v>
      </c>
      <c r="E10" s="16" t="n">
        <f aca="false">D10/C10</f>
        <v>1.80555555555556</v>
      </c>
    </row>
    <row r="11" customFormat="false" ht="15" hidden="false" customHeight="false" outlineLevel="0" collapsed="false">
      <c r="A11" s="15" t="s">
        <v>68</v>
      </c>
      <c r="B11" s="15" t="s">
        <v>69</v>
      </c>
      <c r="C11" s="11" t="n">
        <v>220</v>
      </c>
      <c r="D11" s="11" t="n">
        <v>400</v>
      </c>
      <c r="E11" s="16" t="n">
        <f aca="false">D11/C11</f>
        <v>1.81818181818182</v>
      </c>
    </row>
    <row r="12" customFormat="false" ht="15" hidden="false" customHeight="false" outlineLevel="0" collapsed="false">
      <c r="A12" s="15" t="s">
        <v>70</v>
      </c>
      <c r="B12" s="15" t="s">
        <v>71</v>
      </c>
      <c r="C12" s="11" t="n">
        <v>140</v>
      </c>
      <c r="D12" s="11" t="n">
        <v>250</v>
      </c>
      <c r="E12" s="16" t="n">
        <f aca="false">D12/C12</f>
        <v>1.78571428571429</v>
      </c>
    </row>
    <row r="13" customFormat="false" ht="15" hidden="false" customHeight="false" outlineLevel="0" collapsed="false">
      <c r="A13" s="15" t="s">
        <v>72</v>
      </c>
      <c r="B13" s="15" t="s">
        <v>73</v>
      </c>
      <c r="C13" s="11" t="n">
        <v>180</v>
      </c>
      <c r="D13" s="11" t="n">
        <v>320</v>
      </c>
      <c r="E13" s="16" t="n">
        <f aca="false">D13/C13</f>
        <v>1.77777777777778</v>
      </c>
    </row>
    <row r="15" customFormat="false" ht="15" hidden="false" customHeight="false" outlineLevel="0" collapsed="false">
      <c r="B15" s="15" t="s">
        <v>74</v>
      </c>
      <c r="C15" s="17" t="n">
        <v>0.5</v>
      </c>
    </row>
    <row r="16" customFormat="false" ht="15" hidden="false" customHeight="false" outlineLevel="0" collapsed="false">
      <c r="B16" s="15" t="s">
        <v>75</v>
      </c>
      <c r="C16" s="18" t="n">
        <v>0.08</v>
      </c>
    </row>
    <row r="17" customFormat="false" ht="15" hidden="false" customHeight="false" outlineLevel="0" collapsed="false">
      <c r="B17" s="15" t="s">
        <v>76</v>
      </c>
      <c r="C17" s="18" t="n">
        <v>0.1</v>
      </c>
    </row>
    <row r="18" customFormat="false" ht="15" hidden="false" customHeight="false" outlineLevel="0" collapsed="false">
      <c r="B18" s="15" t="s">
        <v>77</v>
      </c>
      <c r="C18" s="19" t="n">
        <v>46398</v>
      </c>
    </row>
    <row r="20" customFormat="false" ht="15" hidden="false" customHeight="false" outlineLevel="0" collapsed="false">
      <c r="B20" s="10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"/>
    <col collapsed="false" customWidth="true" hidden="false" outlineLevel="0" max="3" min="3" style="0" width="7"/>
    <col collapsed="false" customWidth="true" hidden="false" outlineLevel="0" max="4" min="4" style="0" width="36"/>
    <col collapsed="false" customWidth="true" hidden="false" outlineLevel="0" max="5" min="5" style="0" width="7"/>
    <col collapsed="false" customWidth="true" hidden="false" outlineLevel="0" max="6" min="6" style="0" width="16"/>
    <col collapsed="false" customWidth="true" hidden="false" outlineLevel="0" max="7" min="7" style="0" width="6"/>
    <col collapsed="false" customWidth="true" hidden="false" outlineLevel="0" max="10" min="8" style="0" width="5"/>
    <col collapsed="false" customWidth="true" hidden="false" outlineLevel="0" max="11" min="11" style="0" width="8"/>
    <col collapsed="false" customWidth="true" hidden="false" outlineLevel="0" max="12" min="12" style="0" width="6"/>
    <col collapsed="false" customWidth="true" hidden="false" outlineLevel="0" max="17" min="13" style="0" width="7"/>
    <col collapsed="false" customWidth="true" hidden="false" outlineLevel="0" max="18" min="18" style="0" width="8"/>
    <col collapsed="false" customWidth="true" hidden="false" outlineLevel="0" max="19" min="19" style="0" width="9"/>
    <col collapsed="false" customWidth="true" hidden="false" outlineLevel="0" max="21" min="20" style="0" width="11"/>
    <col collapsed="false" customWidth="true" hidden="false" outlineLevel="0" max="33" min="22" style="0" width="6"/>
  </cols>
  <sheetData>
    <row r="1" customFormat="false" ht="15" hidden="false" customHeight="false" outlineLevel="0" collapsed="false">
      <c r="A1" s="3" t="s">
        <v>79</v>
      </c>
      <c r="S1" s="15" t="s">
        <v>80</v>
      </c>
      <c r="V1" s="13" t="n">
        <f aca="false">Rates!D2</f>
        <v>540</v>
      </c>
      <c r="W1" s="13" t="n">
        <f aca="false">Rates!D3</f>
        <v>610</v>
      </c>
      <c r="X1" s="13" t="n">
        <f aca="false">Rates!D4</f>
        <v>540</v>
      </c>
      <c r="Y1" s="13" t="n">
        <f aca="false">Rates!D5</f>
        <v>580</v>
      </c>
      <c r="Z1" s="13" t="n">
        <f aca="false">Rates!D6</f>
        <v>470</v>
      </c>
      <c r="AA1" s="13" t="n">
        <f aca="false">Rates!D7</f>
        <v>500</v>
      </c>
      <c r="AB1" s="13" t="n">
        <f aca="false">Rates!D8</f>
        <v>500</v>
      </c>
      <c r="AC1" s="13" t="n">
        <f aca="false">Rates!D9</f>
        <v>450</v>
      </c>
      <c r="AD1" s="13" t="n">
        <f aca="false">Rates!D10</f>
        <v>650</v>
      </c>
      <c r="AE1" s="13" t="n">
        <f aca="false">Rates!D11</f>
        <v>400</v>
      </c>
      <c r="AF1" s="13" t="n">
        <f aca="false">Rates!D12</f>
        <v>250</v>
      </c>
      <c r="AG1" s="13" t="n">
        <f aca="false">Rates!D13</f>
        <v>320</v>
      </c>
    </row>
    <row r="2" customFormat="false" ht="15" hidden="false" customHeight="false" outlineLevel="0" collapsed="false">
      <c r="S2" s="15" t="s">
        <v>81</v>
      </c>
      <c r="V2" s="13" t="n">
        <f aca="false">Rates!C2</f>
        <v>300</v>
      </c>
      <c r="W2" s="13" t="n">
        <f aca="false">Rates!C3</f>
        <v>340</v>
      </c>
      <c r="X2" s="13" t="n">
        <f aca="false">Rates!C4</f>
        <v>300</v>
      </c>
      <c r="Y2" s="13" t="n">
        <f aca="false">Rates!C5</f>
        <v>320</v>
      </c>
      <c r="Z2" s="13" t="n">
        <f aca="false">Rates!C6</f>
        <v>260</v>
      </c>
      <c r="AA2" s="13" t="n">
        <f aca="false">Rates!C7</f>
        <v>280</v>
      </c>
      <c r="AB2" s="13" t="n">
        <f aca="false">Rates!C8</f>
        <v>280</v>
      </c>
      <c r="AC2" s="13" t="n">
        <f aca="false">Rates!C9</f>
        <v>250</v>
      </c>
      <c r="AD2" s="13" t="n">
        <f aca="false">Rates!C10</f>
        <v>360</v>
      </c>
      <c r="AE2" s="13" t="n">
        <f aca="false">Rates!C11</f>
        <v>220</v>
      </c>
      <c r="AF2" s="13" t="n">
        <f aca="false">Rates!C12</f>
        <v>140</v>
      </c>
      <c r="AG2" s="13" t="n">
        <f aca="false">Rates!C13</f>
        <v>180</v>
      </c>
    </row>
    <row r="3" customFormat="false" ht="26.85" hidden="false" customHeight="false" outlineLevel="0" collapsed="false">
      <c r="A3" s="4" t="s">
        <v>82</v>
      </c>
      <c r="B3" s="4" t="s">
        <v>83</v>
      </c>
      <c r="C3" s="4" t="s">
        <v>84</v>
      </c>
      <c r="D3" s="4" t="s">
        <v>85</v>
      </c>
      <c r="E3" s="4" t="s">
        <v>86</v>
      </c>
      <c r="F3" s="4" t="s">
        <v>87</v>
      </c>
      <c r="G3" s="4" t="s">
        <v>88</v>
      </c>
      <c r="H3" s="4" t="s">
        <v>89</v>
      </c>
      <c r="I3" s="4" t="s">
        <v>90</v>
      </c>
      <c r="J3" s="4" t="s">
        <v>91</v>
      </c>
      <c r="K3" s="4" t="s">
        <v>92</v>
      </c>
      <c r="L3" s="4" t="s">
        <v>93</v>
      </c>
      <c r="M3" s="4" t="s">
        <v>94</v>
      </c>
      <c r="N3" s="4" t="s">
        <v>95</v>
      </c>
      <c r="O3" s="4" t="s">
        <v>96</v>
      </c>
      <c r="P3" s="4" t="s">
        <v>97</v>
      </c>
      <c r="Q3" s="4" t="s">
        <v>98</v>
      </c>
      <c r="R3" s="4" t="s">
        <v>99</v>
      </c>
      <c r="S3" s="4" t="s">
        <v>100</v>
      </c>
      <c r="T3" s="4" t="s">
        <v>101</v>
      </c>
      <c r="U3" s="4" t="s">
        <v>102</v>
      </c>
      <c r="V3" s="4" t="s">
        <v>50</v>
      </c>
      <c r="W3" s="4" t="s">
        <v>52</v>
      </c>
      <c r="X3" s="4" t="s">
        <v>54</v>
      </c>
      <c r="Y3" s="4" t="s">
        <v>56</v>
      </c>
      <c r="Z3" s="4" t="s">
        <v>58</v>
      </c>
      <c r="AA3" s="4" t="s">
        <v>60</v>
      </c>
      <c r="AB3" s="4" t="s">
        <v>62</v>
      </c>
      <c r="AC3" s="4" t="s">
        <v>64</v>
      </c>
      <c r="AD3" s="4" t="s">
        <v>66</v>
      </c>
      <c r="AE3" s="4" t="s">
        <v>68</v>
      </c>
      <c r="AF3" s="4" t="s">
        <v>70</v>
      </c>
      <c r="AG3" s="4" t="s">
        <v>72</v>
      </c>
    </row>
    <row r="4" customFormat="false" ht="15" hidden="false" customHeight="false" outlineLevel="0" collapsed="false">
      <c r="A4" s="15" t="s">
        <v>103</v>
      </c>
      <c r="B4" s="15" t="n">
        <v>1</v>
      </c>
      <c r="C4" s="15" t="s">
        <v>28</v>
      </c>
      <c r="D4" s="15" t="s">
        <v>104</v>
      </c>
      <c r="E4" s="15" t="s">
        <v>105</v>
      </c>
      <c r="F4" s="15"/>
      <c r="G4" s="15" t="s">
        <v>106</v>
      </c>
      <c r="H4" s="20" t="n">
        <v>5</v>
      </c>
      <c r="I4" s="20" t="n">
        <v>8</v>
      </c>
      <c r="J4" s="20" t="n">
        <v>15</v>
      </c>
      <c r="K4" s="7" t="n">
        <f aca="false">(H4+4*I4+J4)/6</f>
        <v>8.66666666666667</v>
      </c>
      <c r="L4" s="7" t="n">
        <f aca="false">(J4-H4)/6</f>
        <v>1.66666666666667</v>
      </c>
      <c r="M4" s="7" t="n">
        <v>0</v>
      </c>
      <c r="N4" s="7" t="n">
        <f aca="false">M4+K4</f>
        <v>8.66666666666667</v>
      </c>
      <c r="O4" s="7" t="n">
        <f aca="false">P4-K4</f>
        <v>0</v>
      </c>
      <c r="P4" s="7" t="n">
        <f aca="false">MIN(O5,O8)</f>
        <v>8.66666666666668</v>
      </c>
      <c r="Q4" s="7" t="n">
        <f aca="false">O4-M4</f>
        <v>0</v>
      </c>
      <c r="R4" s="5" t="str">
        <f aca="false">IF(Q4&lt;0.01,"yes","")</f>
        <v>yes</v>
      </c>
      <c r="S4" s="7" t="n">
        <f aca="false">K4*SUM(V4:AG4)</f>
        <v>21.6666666666667</v>
      </c>
      <c r="T4" s="12" t="n">
        <f aca="false">K4*SUMPRODUCT(V$2:AG$2,V4:AG4)</f>
        <v>6933.33333333333</v>
      </c>
      <c r="U4" s="12" t="n">
        <f aca="false">K4*SUMPRODUCT(V$1:AG$1,V4:AG4)</f>
        <v>12480</v>
      </c>
      <c r="V4" s="20" t="n">
        <v>0.5</v>
      </c>
      <c r="W4" s="20" t="n">
        <v>1</v>
      </c>
      <c r="X4" s="20" t="n">
        <v>0.5</v>
      </c>
      <c r="Y4" s="20" t="n">
        <v>0.5</v>
      </c>
      <c r="Z4" s="20"/>
      <c r="AA4" s="20"/>
      <c r="AB4" s="20"/>
      <c r="AC4" s="20"/>
      <c r="AD4" s="20"/>
      <c r="AE4" s="20"/>
      <c r="AF4" s="20"/>
      <c r="AG4" s="20"/>
    </row>
    <row r="5" customFormat="false" ht="15" hidden="false" customHeight="false" outlineLevel="0" collapsed="false">
      <c r="A5" s="15" t="s">
        <v>107</v>
      </c>
      <c r="B5" s="15" t="n">
        <v>1</v>
      </c>
      <c r="C5" s="15" t="s">
        <v>28</v>
      </c>
      <c r="D5" s="15" t="s">
        <v>108</v>
      </c>
      <c r="E5" s="15" t="s">
        <v>105</v>
      </c>
      <c r="F5" s="15" t="s">
        <v>103</v>
      </c>
      <c r="G5" s="15" t="s">
        <v>109</v>
      </c>
      <c r="H5" s="20" t="n">
        <v>5</v>
      </c>
      <c r="I5" s="20" t="n">
        <v>8</v>
      </c>
      <c r="J5" s="20" t="n">
        <v>12</v>
      </c>
      <c r="K5" s="7" t="n">
        <f aca="false">(H5+4*I5+J5)/6</f>
        <v>8.16666666666667</v>
      </c>
      <c r="L5" s="7" t="n">
        <f aca="false">(J5-H5)/6</f>
        <v>1.16666666666667</v>
      </c>
      <c r="M5" s="7" t="n">
        <f aca="false">MAX(N4)</f>
        <v>8.66666666666667</v>
      </c>
      <c r="N5" s="7" t="n">
        <f aca="false">M5+K5</f>
        <v>16.8333333333333</v>
      </c>
      <c r="O5" s="7" t="n">
        <f aca="false">P5-K5</f>
        <v>8.66666666666668</v>
      </c>
      <c r="P5" s="7" t="n">
        <f aca="false">MIN(O6)</f>
        <v>16.8333333333333</v>
      </c>
      <c r="Q5" s="7" t="n">
        <f aca="false">O5-M5</f>
        <v>0</v>
      </c>
      <c r="R5" s="5" t="str">
        <f aca="false">IF(Q5&lt;0.01,"yes","")</f>
        <v>yes</v>
      </c>
      <c r="S5" s="7" t="n">
        <f aca="false">K5*SUM(V5:AG5)</f>
        <v>15.5166666666667</v>
      </c>
      <c r="T5" s="12" t="n">
        <f aca="false">K5*SUMPRODUCT(V$2:AG$2,V5:AG5)</f>
        <v>4932.66666666667</v>
      </c>
      <c r="U5" s="12" t="n">
        <f aca="false">K5*SUMPRODUCT(V$1:AG$1,V5:AG5)</f>
        <v>8877.16666666667</v>
      </c>
      <c r="V5" s="20" t="n">
        <v>0.3</v>
      </c>
      <c r="W5" s="20" t="n">
        <v>1</v>
      </c>
      <c r="X5" s="20"/>
      <c r="Y5" s="20"/>
      <c r="Z5" s="20"/>
      <c r="AA5" s="20"/>
      <c r="AB5" s="20"/>
      <c r="AC5" s="20"/>
      <c r="AD5" s="20" t="n">
        <v>0.3</v>
      </c>
      <c r="AE5" s="20" t="n">
        <v>0.3</v>
      </c>
      <c r="AF5" s="20"/>
      <c r="AG5" s="20"/>
    </row>
    <row r="6" customFormat="false" ht="15" hidden="false" customHeight="false" outlineLevel="0" collapsed="false">
      <c r="A6" s="15" t="s">
        <v>110</v>
      </c>
      <c r="B6" s="15" t="n">
        <v>1</v>
      </c>
      <c r="C6" s="15" t="s">
        <v>28</v>
      </c>
      <c r="D6" s="15" t="s">
        <v>111</v>
      </c>
      <c r="E6" s="15" t="s">
        <v>105</v>
      </c>
      <c r="F6" s="15" t="s">
        <v>107</v>
      </c>
      <c r="G6" s="15"/>
      <c r="H6" s="20" t="n">
        <v>5</v>
      </c>
      <c r="I6" s="20" t="n">
        <v>8</v>
      </c>
      <c r="J6" s="20" t="n">
        <v>12</v>
      </c>
      <c r="K6" s="7" t="n">
        <f aca="false">(H6+4*I6+J6)/6</f>
        <v>8.16666666666667</v>
      </c>
      <c r="L6" s="7" t="n">
        <f aca="false">(J6-H6)/6</f>
        <v>1.16666666666667</v>
      </c>
      <c r="M6" s="7" t="n">
        <f aca="false">MAX(N5)</f>
        <v>16.8333333333333</v>
      </c>
      <c r="N6" s="7" t="n">
        <f aca="false">M6+K6</f>
        <v>25</v>
      </c>
      <c r="O6" s="7" t="n">
        <f aca="false">P6-K6</f>
        <v>16.8333333333333</v>
      </c>
      <c r="P6" s="7" t="n">
        <f aca="false">MIN(O7)</f>
        <v>25</v>
      </c>
      <c r="Q6" s="7" t="n">
        <f aca="false">O6-M6</f>
        <v>0</v>
      </c>
      <c r="R6" s="5" t="str">
        <f aca="false">IF(Q6&lt;0.01,"yes","")</f>
        <v>yes</v>
      </c>
      <c r="S6" s="7" t="n">
        <f aca="false">K6*SUM(V6:AG6)</f>
        <v>19.6</v>
      </c>
      <c r="T6" s="12" t="n">
        <f aca="false">K6*SUMPRODUCT(V$2:AG$2,V6:AG6)</f>
        <v>6108.66666666667</v>
      </c>
      <c r="U6" s="12" t="n">
        <f aca="false">K6*SUMPRODUCT(V$1:AG$1,V6:AG6)</f>
        <v>10984.1666666667</v>
      </c>
      <c r="V6" s="20"/>
      <c r="W6" s="20" t="n">
        <v>1</v>
      </c>
      <c r="X6" s="20" t="n">
        <v>0.5</v>
      </c>
      <c r="Y6" s="20" t="n">
        <v>0.3</v>
      </c>
      <c r="Z6" s="20" t="n">
        <v>0.3</v>
      </c>
      <c r="AA6" s="20"/>
      <c r="AB6" s="20" t="n">
        <v>0.3</v>
      </c>
      <c r="AC6" s="20"/>
      <c r="AD6" s="20"/>
      <c r="AE6" s="20"/>
      <c r="AF6" s="20"/>
      <c r="AG6" s="20"/>
    </row>
    <row r="7" customFormat="false" ht="15" hidden="false" customHeight="false" outlineLevel="0" collapsed="false">
      <c r="A7" s="15" t="s">
        <v>112</v>
      </c>
      <c r="B7" s="15" t="n">
        <v>1</v>
      </c>
      <c r="C7" s="15" t="s">
        <v>28</v>
      </c>
      <c r="D7" s="15" t="s">
        <v>113</v>
      </c>
      <c r="E7" s="15" t="s">
        <v>105</v>
      </c>
      <c r="F7" s="15" t="s">
        <v>110</v>
      </c>
      <c r="G7" s="15"/>
      <c r="H7" s="20" t="n">
        <v>2</v>
      </c>
      <c r="I7" s="20" t="n">
        <v>3</v>
      </c>
      <c r="J7" s="20" t="n">
        <v>5</v>
      </c>
      <c r="K7" s="7" t="n">
        <f aca="false">(H7+4*I7+J7)/6</f>
        <v>3.16666666666667</v>
      </c>
      <c r="L7" s="7" t="n">
        <f aca="false">(J7-H7)/6</f>
        <v>0.5</v>
      </c>
      <c r="M7" s="7" t="n">
        <f aca="false">MAX(N6)</f>
        <v>25</v>
      </c>
      <c r="N7" s="7" t="n">
        <f aca="false">M7+K7</f>
        <v>28.1666666666667</v>
      </c>
      <c r="O7" s="7" t="n">
        <f aca="false">P7-K7</f>
        <v>25</v>
      </c>
      <c r="P7" s="7" t="n">
        <f aca="false">MIN(O9,O10)</f>
        <v>28.1666666666667</v>
      </c>
      <c r="Q7" s="7" t="n">
        <f aca="false">O7-M7</f>
        <v>0</v>
      </c>
      <c r="R7" s="5" t="str">
        <f aca="false">IF(Q7&lt;0.01,"yes","")</f>
        <v>yes</v>
      </c>
      <c r="S7" s="7" t="n">
        <f aca="false">K7*SUM(V7:AG7)</f>
        <v>8.55</v>
      </c>
      <c r="T7" s="12" t="n">
        <f aca="false">K7*SUMPRODUCT(V$2:AG$2,V7:AG7)</f>
        <v>2751.83333333333</v>
      </c>
      <c r="U7" s="12" t="n">
        <f aca="false">K7*SUMPRODUCT(V$1:AG$1,V7:AG7)</f>
        <v>4952.66666666667</v>
      </c>
      <c r="V7" s="20" t="n">
        <v>0.3</v>
      </c>
      <c r="W7" s="20" t="n">
        <v>0.5</v>
      </c>
      <c r="X7" s="20" t="n">
        <v>0.3</v>
      </c>
      <c r="Y7" s="20"/>
      <c r="Z7" s="20"/>
      <c r="AA7" s="20"/>
      <c r="AB7" s="20" t="n">
        <v>0.3</v>
      </c>
      <c r="AC7" s="20" t="n">
        <v>0.3</v>
      </c>
      <c r="AD7" s="20" t="n">
        <v>1</v>
      </c>
      <c r="AE7" s="20"/>
      <c r="AF7" s="20"/>
      <c r="AG7" s="20"/>
    </row>
    <row r="8" customFormat="false" ht="15" hidden="false" customHeight="false" outlineLevel="0" collapsed="false">
      <c r="A8" s="15" t="s">
        <v>114</v>
      </c>
      <c r="B8" s="15" t="n">
        <v>1</v>
      </c>
      <c r="C8" s="15" t="s">
        <v>31</v>
      </c>
      <c r="D8" s="15" t="s">
        <v>115</v>
      </c>
      <c r="E8" s="15" t="s">
        <v>116</v>
      </c>
      <c r="F8" s="15" t="s">
        <v>103</v>
      </c>
      <c r="G8" s="15"/>
      <c r="H8" s="20" t="n">
        <v>5</v>
      </c>
      <c r="I8" s="20" t="n">
        <v>10</v>
      </c>
      <c r="J8" s="20" t="n">
        <v>20</v>
      </c>
      <c r="K8" s="7" t="n">
        <f aca="false">(H8+4*I8+J8)/6</f>
        <v>10.8333333333333</v>
      </c>
      <c r="L8" s="7" t="n">
        <f aca="false">(J8-H8)/6</f>
        <v>2.5</v>
      </c>
      <c r="M8" s="7" t="n">
        <f aca="false">MAX(N4)</f>
        <v>8.66666666666667</v>
      </c>
      <c r="N8" s="7" t="n">
        <f aca="false">M8+K8</f>
        <v>19.5</v>
      </c>
      <c r="O8" s="7" t="n">
        <f aca="false">P8-K8</f>
        <v>17.3333333333333</v>
      </c>
      <c r="P8" s="7" t="n">
        <f aca="false">MIN(O9,O10)</f>
        <v>28.1666666666667</v>
      </c>
      <c r="Q8" s="7" t="n">
        <f aca="false">O8-M8</f>
        <v>8.66666666666668</v>
      </c>
      <c r="R8" s="5" t="str">
        <f aca="false">IF(Q8&lt;0.01,"yes","")</f>
        <v/>
      </c>
      <c r="S8" s="7" t="n">
        <f aca="false">K8*SUM(V8:AG8)</f>
        <v>2.16666666666667</v>
      </c>
      <c r="T8" s="12" t="n">
        <f aca="false">K8*SUMPRODUCT(V$2:AG$2,V8:AG8)</f>
        <v>390</v>
      </c>
      <c r="U8" s="12" t="n">
        <f aca="false">K8*SUMPRODUCT(V$1:AG$1,V8:AG8)</f>
        <v>693.333333333333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 t="n">
        <v>0.2</v>
      </c>
    </row>
    <row r="9" customFormat="false" ht="15" hidden="false" customHeight="false" outlineLevel="0" collapsed="false">
      <c r="A9" s="15" t="s">
        <v>117</v>
      </c>
      <c r="B9" s="15" t="n">
        <v>1</v>
      </c>
      <c r="C9" s="15" t="s">
        <v>31</v>
      </c>
      <c r="D9" s="15" t="s">
        <v>118</v>
      </c>
      <c r="E9" s="15" t="s">
        <v>105</v>
      </c>
      <c r="F9" s="15" t="s">
        <v>119</v>
      </c>
      <c r="G9" s="15"/>
      <c r="H9" s="20" t="n">
        <v>10</v>
      </c>
      <c r="I9" s="20" t="n">
        <v>15</v>
      </c>
      <c r="J9" s="20" t="n">
        <v>25</v>
      </c>
      <c r="K9" s="7" t="n">
        <f aca="false">(H9+4*I9+J9)/6</f>
        <v>15.8333333333333</v>
      </c>
      <c r="L9" s="7" t="n">
        <f aca="false">(J9-H9)/6</f>
        <v>2.5</v>
      </c>
      <c r="M9" s="7" t="n">
        <f aca="false">MAX(N7,N8)</f>
        <v>28.1666666666667</v>
      </c>
      <c r="N9" s="7" t="n">
        <f aca="false">M9+K9</f>
        <v>44</v>
      </c>
      <c r="O9" s="7" t="n">
        <f aca="false">P9-K9</f>
        <v>28.1666666666667</v>
      </c>
      <c r="P9" s="7" t="n">
        <f aca="false">MIN(O11)</f>
        <v>44</v>
      </c>
      <c r="Q9" s="7" t="n">
        <f aca="false">O9-M9</f>
        <v>0</v>
      </c>
      <c r="R9" s="5" t="str">
        <f aca="false">IF(Q9&lt;0.01,"yes","")</f>
        <v>yes</v>
      </c>
      <c r="S9" s="7" t="n">
        <f aca="false">K9*SUM(V9:AG9)</f>
        <v>20.5833333333333</v>
      </c>
      <c r="T9" s="12" t="n">
        <f aca="false">K9*SUMPRODUCT(V$2:AG$2,V9:AG9)</f>
        <v>6301.66666666667</v>
      </c>
      <c r="U9" s="12" t="n">
        <f aca="false">K9*SUMPRODUCT(V$1:AG$1,V9:AG9)</f>
        <v>11415.8333333333</v>
      </c>
      <c r="V9" s="20"/>
      <c r="W9" s="20"/>
      <c r="X9" s="20"/>
      <c r="Y9" s="20" t="n">
        <v>1</v>
      </c>
      <c r="Z9" s="20" t="n">
        <v>0.3</v>
      </c>
      <c r="AA9" s="20"/>
      <c r="AB9" s="20"/>
      <c r="AC9" s="20"/>
      <c r="AD9" s="20"/>
      <c r="AE9" s="20"/>
      <c r="AF9" s="20"/>
      <c r="AG9" s="20"/>
    </row>
    <row r="10" customFormat="false" ht="15" hidden="false" customHeight="false" outlineLevel="0" collapsed="false">
      <c r="A10" s="15" t="s">
        <v>120</v>
      </c>
      <c r="B10" s="15" t="n">
        <v>1</v>
      </c>
      <c r="C10" s="15" t="s">
        <v>31</v>
      </c>
      <c r="D10" s="15" t="s">
        <v>121</v>
      </c>
      <c r="E10" s="15" t="s">
        <v>105</v>
      </c>
      <c r="F10" s="15" t="s">
        <v>119</v>
      </c>
      <c r="G10" s="15"/>
      <c r="H10" s="20" t="n">
        <v>8</v>
      </c>
      <c r="I10" s="20" t="n">
        <v>12</v>
      </c>
      <c r="J10" s="20" t="n">
        <v>20</v>
      </c>
      <c r="K10" s="7" t="n">
        <f aca="false">(H10+4*I10+J10)/6</f>
        <v>12.6666666666667</v>
      </c>
      <c r="L10" s="7" t="n">
        <f aca="false">(J10-H10)/6</f>
        <v>2</v>
      </c>
      <c r="M10" s="7" t="n">
        <f aca="false">MAX(N7,N8)</f>
        <v>28.1666666666667</v>
      </c>
      <c r="N10" s="7" t="n">
        <f aca="false">M10+K10</f>
        <v>40.8333333333333</v>
      </c>
      <c r="O10" s="7" t="n">
        <f aca="false">P10-K10</f>
        <v>31.3333333333334</v>
      </c>
      <c r="P10" s="7" t="n">
        <f aca="false">MIN(O11)</f>
        <v>44</v>
      </c>
      <c r="Q10" s="7" t="n">
        <f aca="false">O10-M10</f>
        <v>3.16666666666668</v>
      </c>
      <c r="R10" s="5" t="str">
        <f aca="false">IF(Q10&lt;0.01,"yes","")</f>
        <v/>
      </c>
      <c r="S10" s="7" t="n">
        <f aca="false">K10*SUM(V10:AG10)</f>
        <v>16.4666666666667</v>
      </c>
      <c r="T10" s="12" t="n">
        <f aca="false">K10*SUMPRODUCT(V$2:AG$2,V10:AG10)</f>
        <v>4750</v>
      </c>
      <c r="U10" s="12" t="n">
        <f aca="false">K10*SUMPRODUCT(V$1:AG$1,V10:AG10)</f>
        <v>8550</v>
      </c>
      <c r="V10" s="20"/>
      <c r="W10" s="20"/>
      <c r="X10" s="20" t="n">
        <v>1</v>
      </c>
      <c r="Y10" s="20"/>
      <c r="Z10" s="20"/>
      <c r="AA10" s="20"/>
      <c r="AB10" s="20"/>
      <c r="AC10" s="20" t="n">
        <v>0.3</v>
      </c>
      <c r="AD10" s="20"/>
      <c r="AE10" s="20"/>
      <c r="AF10" s="20"/>
      <c r="AG10" s="20"/>
    </row>
    <row r="11" customFormat="false" ht="15" hidden="false" customHeight="false" outlineLevel="0" collapsed="false">
      <c r="A11" s="15" t="s">
        <v>122</v>
      </c>
      <c r="B11" s="15" t="n">
        <v>1</v>
      </c>
      <c r="C11" s="15" t="s">
        <v>31</v>
      </c>
      <c r="D11" s="15" t="s">
        <v>123</v>
      </c>
      <c r="E11" s="15" t="s">
        <v>105</v>
      </c>
      <c r="F11" s="15" t="s">
        <v>124</v>
      </c>
      <c r="G11" s="15" t="s">
        <v>125</v>
      </c>
      <c r="H11" s="20" t="n">
        <v>1</v>
      </c>
      <c r="I11" s="20" t="n">
        <v>2</v>
      </c>
      <c r="J11" s="20" t="n">
        <v>3</v>
      </c>
      <c r="K11" s="7" t="n">
        <f aca="false">(H11+4*I11+J11)/6</f>
        <v>2</v>
      </c>
      <c r="L11" s="7" t="n">
        <f aca="false">(J11-H11)/6</f>
        <v>0.333333333333333</v>
      </c>
      <c r="M11" s="7" t="n">
        <f aca="false">MAX(N9,N10)</f>
        <v>44</v>
      </c>
      <c r="N11" s="7" t="n">
        <f aca="false">M11+K11</f>
        <v>46</v>
      </c>
      <c r="O11" s="7" t="n">
        <f aca="false">P11-K11</f>
        <v>44</v>
      </c>
      <c r="P11" s="7" t="n">
        <f aca="false">MIN(O12,O13)</f>
        <v>46</v>
      </c>
      <c r="Q11" s="7" t="n">
        <f aca="false">O11-M11</f>
        <v>0</v>
      </c>
      <c r="R11" s="5" t="str">
        <f aca="false">IF(Q11&lt;0.01,"yes","")</f>
        <v>yes</v>
      </c>
      <c r="S11" s="7" t="n">
        <f aca="false">K11*SUM(V11:AG11)</f>
        <v>4</v>
      </c>
      <c r="T11" s="12" t="n">
        <f aca="false">K11*SUMPRODUCT(V$2:AG$2,V11:AG11)</f>
        <v>1260</v>
      </c>
      <c r="U11" s="12" t="n">
        <f aca="false">K11*SUMPRODUCT(V$1:AG$1,V11:AG11)</f>
        <v>2270</v>
      </c>
      <c r="V11" s="20" t="n">
        <v>0.5</v>
      </c>
      <c r="W11" s="20" t="n">
        <v>0.5</v>
      </c>
      <c r="X11" s="20" t="n">
        <v>0.5</v>
      </c>
      <c r="Y11" s="20" t="n">
        <v>0.5</v>
      </c>
      <c r="Z11" s="20"/>
      <c r="AA11" s="20"/>
      <c r="AB11" s="20"/>
      <c r="AC11" s="20"/>
      <c r="AD11" s="20"/>
      <c r="AE11" s="20"/>
      <c r="AF11" s="20"/>
      <c r="AG11" s="20"/>
    </row>
    <row r="12" customFormat="false" ht="15" hidden="false" customHeight="false" outlineLevel="0" collapsed="false">
      <c r="A12" s="15" t="s">
        <v>126</v>
      </c>
      <c r="B12" s="15" t="n">
        <v>1</v>
      </c>
      <c r="C12" s="15" t="s">
        <v>32</v>
      </c>
      <c r="D12" s="15" t="s">
        <v>127</v>
      </c>
      <c r="E12" s="15" t="s">
        <v>105</v>
      </c>
      <c r="F12" s="15" t="s">
        <v>122</v>
      </c>
      <c r="G12" s="15"/>
      <c r="H12" s="20" t="n">
        <v>10</v>
      </c>
      <c r="I12" s="20" t="n">
        <v>15</v>
      </c>
      <c r="J12" s="20" t="n">
        <v>22</v>
      </c>
      <c r="K12" s="7" t="n">
        <f aca="false">(H12+4*I12+J12)/6</f>
        <v>15.3333333333333</v>
      </c>
      <c r="L12" s="7" t="n">
        <f aca="false">(J12-H12)/6</f>
        <v>2</v>
      </c>
      <c r="M12" s="7" t="n">
        <f aca="false">MAX(N11)</f>
        <v>46</v>
      </c>
      <c r="N12" s="7" t="n">
        <f aca="false">M12+K12</f>
        <v>61.3333333333333</v>
      </c>
      <c r="O12" s="7" t="n">
        <f aca="false">P12-K12</f>
        <v>84.1666666666667</v>
      </c>
      <c r="P12" s="7" t="n">
        <f aca="false">MIN(O27,O28)</f>
        <v>99.5</v>
      </c>
      <c r="Q12" s="7" t="n">
        <f aca="false">O12-M12</f>
        <v>38.1666666666667</v>
      </c>
      <c r="R12" s="5" t="str">
        <f aca="false">IF(Q12&lt;0.01,"yes","")</f>
        <v/>
      </c>
      <c r="S12" s="7" t="n">
        <f aca="false">K12*SUM(V12:AG12)</f>
        <v>46</v>
      </c>
      <c r="T12" s="12" t="n">
        <f aca="false">K12*SUMPRODUCT(V$2:AG$2,V12:AG12)</f>
        <v>13186.6666666667</v>
      </c>
      <c r="U12" s="12" t="n">
        <f aca="false">K12*SUMPRODUCT(V$1:AG$1,V12:AG12)</f>
        <v>23843.3333333333</v>
      </c>
      <c r="V12" s="20"/>
      <c r="W12" s="20"/>
      <c r="X12" s="20" t="n">
        <v>1</v>
      </c>
      <c r="Y12" s="20" t="n">
        <v>1</v>
      </c>
      <c r="Z12" s="20" t="n">
        <v>0.5</v>
      </c>
      <c r="AA12" s="20"/>
      <c r="AB12" s="20"/>
      <c r="AC12" s="20"/>
      <c r="AD12" s="20"/>
      <c r="AE12" s="20" t="n">
        <v>0.5</v>
      </c>
      <c r="AF12" s="20"/>
      <c r="AG12" s="20"/>
    </row>
    <row r="13" customFormat="false" ht="15" hidden="false" customHeight="false" outlineLevel="0" collapsed="false">
      <c r="A13" s="15" t="s">
        <v>128</v>
      </c>
      <c r="B13" s="15" t="n">
        <v>2</v>
      </c>
      <c r="C13" s="15" t="s">
        <v>129</v>
      </c>
      <c r="D13" s="15" t="s">
        <v>130</v>
      </c>
      <c r="E13" s="15" t="s">
        <v>105</v>
      </c>
      <c r="F13" s="15" t="s">
        <v>122</v>
      </c>
      <c r="G13" s="15"/>
      <c r="H13" s="20" t="n">
        <v>4</v>
      </c>
      <c r="I13" s="20" t="n">
        <v>6</v>
      </c>
      <c r="J13" s="20" t="n">
        <v>10</v>
      </c>
      <c r="K13" s="7" t="n">
        <f aca="false">(H13+4*I13+J13)/6</f>
        <v>6.33333333333333</v>
      </c>
      <c r="L13" s="7" t="n">
        <f aca="false">(J13-H13)/6</f>
        <v>1</v>
      </c>
      <c r="M13" s="7" t="n">
        <f aca="false">MAX(N11)</f>
        <v>46</v>
      </c>
      <c r="N13" s="7" t="n">
        <f aca="false">M13+K13</f>
        <v>52.3333333333333</v>
      </c>
      <c r="O13" s="7" t="n">
        <f aca="false">P13-K13</f>
        <v>46</v>
      </c>
      <c r="P13" s="7" t="n">
        <f aca="false">MIN(O14,O29)</f>
        <v>52.3333333333334</v>
      </c>
      <c r="Q13" s="7" t="n">
        <f aca="false">O13-M13</f>
        <v>0</v>
      </c>
      <c r="R13" s="5" t="str">
        <f aca="false">IF(Q13&lt;0.01,"yes","")</f>
        <v>yes</v>
      </c>
      <c r="S13" s="7" t="n">
        <f aca="false">K13*SUM(V13:AG13)</f>
        <v>16.4666666666667</v>
      </c>
      <c r="T13" s="12" t="n">
        <f aca="false">K13*SUMPRODUCT(V$2:AG$2,V13:AG13)</f>
        <v>4933.66666666667</v>
      </c>
      <c r="U13" s="12" t="n">
        <f aca="false">K13*SUMPRODUCT(V$1:AG$1,V13:AG13)</f>
        <v>8847.66666666667</v>
      </c>
      <c r="V13" s="20"/>
      <c r="W13" s="20" t="n">
        <v>1</v>
      </c>
      <c r="X13" s="20" t="n">
        <v>0.3</v>
      </c>
      <c r="Y13" s="20"/>
      <c r="Z13" s="20"/>
      <c r="AA13" s="20" t="n">
        <v>0.3</v>
      </c>
      <c r="AB13" s="20" t="n">
        <v>0.5</v>
      </c>
      <c r="AC13" s="20" t="n">
        <v>0.5</v>
      </c>
      <c r="AD13" s="20"/>
      <c r="AE13" s="20"/>
      <c r="AF13" s="20"/>
      <c r="AG13" s="20"/>
    </row>
    <row r="14" customFormat="false" ht="15" hidden="false" customHeight="false" outlineLevel="0" collapsed="false">
      <c r="A14" s="15" t="s">
        <v>131</v>
      </c>
      <c r="B14" s="15" t="n">
        <v>2</v>
      </c>
      <c r="C14" s="15" t="s">
        <v>129</v>
      </c>
      <c r="D14" s="15" t="s">
        <v>132</v>
      </c>
      <c r="E14" s="15" t="s">
        <v>105</v>
      </c>
      <c r="F14" s="15" t="s">
        <v>128</v>
      </c>
      <c r="G14" s="15" t="s">
        <v>133</v>
      </c>
      <c r="H14" s="20" t="n">
        <v>3</v>
      </c>
      <c r="I14" s="20" t="n">
        <v>5</v>
      </c>
      <c r="J14" s="20" t="n">
        <v>10</v>
      </c>
      <c r="K14" s="7" t="n">
        <f aca="false">(H14+4*I14+J14)/6</f>
        <v>5.5</v>
      </c>
      <c r="L14" s="7" t="n">
        <f aca="false">(J14-H14)/6</f>
        <v>1.16666666666667</v>
      </c>
      <c r="M14" s="7" t="n">
        <f aca="false">MAX(N13)</f>
        <v>52.3333333333333</v>
      </c>
      <c r="N14" s="7" t="n">
        <f aca="false">M14+K14</f>
        <v>57.8333333333333</v>
      </c>
      <c r="O14" s="7" t="n">
        <f aca="false">P14-K14</f>
        <v>52.3333333333334</v>
      </c>
      <c r="P14" s="7" t="n">
        <f aca="false">MIN(O15,O16)</f>
        <v>57.8333333333334</v>
      </c>
      <c r="Q14" s="7" t="n">
        <f aca="false">O14-M14</f>
        <v>0</v>
      </c>
      <c r="R14" s="5" t="str">
        <f aca="false">IF(Q14&lt;0.01,"yes","")</f>
        <v>yes</v>
      </c>
      <c r="S14" s="7" t="n">
        <f aca="false">K14*SUM(V14:AG14)</f>
        <v>9.9</v>
      </c>
      <c r="T14" s="12" t="n">
        <f aca="false">K14*SUMPRODUCT(V$2:AG$2,V14:AG14)</f>
        <v>2596</v>
      </c>
      <c r="U14" s="12" t="n">
        <f aca="false">K14*SUMPRODUCT(V$1:AG$1,V14:AG14)</f>
        <v>4636.5</v>
      </c>
      <c r="V14" s="20"/>
      <c r="W14" s="20" t="n">
        <v>0.3</v>
      </c>
      <c r="X14" s="20"/>
      <c r="Y14" s="20"/>
      <c r="Z14" s="20"/>
      <c r="AA14" s="20"/>
      <c r="AB14" s="20" t="n">
        <v>1</v>
      </c>
      <c r="AC14" s="20"/>
      <c r="AD14" s="20"/>
      <c r="AE14" s="20"/>
      <c r="AF14" s="20"/>
      <c r="AG14" s="20" t="n">
        <v>0.5</v>
      </c>
    </row>
    <row r="15" customFormat="false" ht="15" hidden="false" customHeight="false" outlineLevel="0" collapsed="false">
      <c r="A15" s="15" t="s">
        <v>134</v>
      </c>
      <c r="B15" s="15" t="n">
        <v>2</v>
      </c>
      <c r="C15" s="15" t="s">
        <v>129</v>
      </c>
      <c r="D15" s="15" t="s">
        <v>135</v>
      </c>
      <c r="E15" s="15" t="s">
        <v>116</v>
      </c>
      <c r="F15" s="15" t="s">
        <v>131</v>
      </c>
      <c r="G15" s="15"/>
      <c r="H15" s="20" t="n">
        <v>20</v>
      </c>
      <c r="I15" s="20" t="n">
        <v>30</v>
      </c>
      <c r="J15" s="20" t="n">
        <v>50</v>
      </c>
      <c r="K15" s="7" t="n">
        <f aca="false">(H15+4*I15+J15)/6</f>
        <v>31.6666666666667</v>
      </c>
      <c r="L15" s="7" t="n">
        <f aca="false">(J15-H15)/6</f>
        <v>5</v>
      </c>
      <c r="M15" s="7" t="n">
        <f aca="false">MAX(N14)</f>
        <v>57.8333333333333</v>
      </c>
      <c r="N15" s="7" t="n">
        <f aca="false">M15+K15</f>
        <v>89.5</v>
      </c>
      <c r="O15" s="7" t="n">
        <f aca="false">P15-K15</f>
        <v>98.6666666666667</v>
      </c>
      <c r="P15" s="7" t="n">
        <f aca="false">MIN(O30)</f>
        <v>130.333333333333</v>
      </c>
      <c r="Q15" s="7" t="n">
        <f aca="false">O15-M15</f>
        <v>40.8333333333333</v>
      </c>
      <c r="R15" s="5" t="str">
        <f aca="false">IF(Q15&lt;0.01,"yes","")</f>
        <v/>
      </c>
      <c r="S15" s="7" t="n">
        <f aca="false">K15*SUM(V15:AG15)</f>
        <v>6.33333333333333</v>
      </c>
      <c r="T15" s="12" t="n">
        <f aca="false">K15*SUMPRODUCT(V$2:AG$2,V15:AG15)</f>
        <v>1140</v>
      </c>
      <c r="U15" s="12" t="n">
        <f aca="false">K15*SUMPRODUCT(V$1:AG$1,V15:AG15)</f>
        <v>2026.66666666667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 t="n">
        <v>0.2</v>
      </c>
    </row>
    <row r="16" customFormat="false" ht="15" hidden="false" customHeight="false" outlineLevel="0" collapsed="false">
      <c r="A16" s="15" t="s">
        <v>136</v>
      </c>
      <c r="B16" s="15" t="n">
        <v>2</v>
      </c>
      <c r="C16" s="15" t="s">
        <v>129</v>
      </c>
      <c r="D16" s="15" t="s">
        <v>137</v>
      </c>
      <c r="E16" s="15" t="s">
        <v>105</v>
      </c>
      <c r="F16" s="15" t="s">
        <v>131</v>
      </c>
      <c r="G16" s="15"/>
      <c r="H16" s="20" t="n">
        <v>10</v>
      </c>
      <c r="I16" s="20" t="n">
        <v>15</v>
      </c>
      <c r="J16" s="20" t="n">
        <v>22</v>
      </c>
      <c r="K16" s="7" t="n">
        <f aca="false">(H16+4*I16+J16)/6</f>
        <v>15.3333333333333</v>
      </c>
      <c r="L16" s="7" t="n">
        <f aca="false">(J16-H16)/6</f>
        <v>2</v>
      </c>
      <c r="M16" s="7" t="n">
        <f aca="false">MAX(N14)</f>
        <v>57.8333333333333</v>
      </c>
      <c r="N16" s="7" t="n">
        <f aca="false">M16+K16</f>
        <v>73.1666666666667</v>
      </c>
      <c r="O16" s="7" t="n">
        <f aca="false">P16-K16</f>
        <v>57.8333333333334</v>
      </c>
      <c r="P16" s="7" t="n">
        <f aca="false">MIN(O17,O18)</f>
        <v>73.1666666666667</v>
      </c>
      <c r="Q16" s="7" t="n">
        <f aca="false">O16-M16</f>
        <v>0</v>
      </c>
      <c r="R16" s="5" t="str">
        <f aca="false">IF(Q16&lt;0.01,"yes","")</f>
        <v>yes</v>
      </c>
      <c r="S16" s="7" t="n">
        <f aca="false">K16*SUM(V16:AG16)</f>
        <v>15.3333333333333</v>
      </c>
      <c r="T16" s="12" t="n">
        <f aca="false">K16*SUMPRODUCT(V$2:AG$2,V16:AG16)</f>
        <v>4293.33333333333</v>
      </c>
      <c r="U16" s="12" t="n">
        <f aca="false">K16*SUMPRODUCT(V$1:AG$1,V16:AG16)</f>
        <v>7666.66666666667</v>
      </c>
      <c r="V16" s="20"/>
      <c r="W16" s="20"/>
      <c r="X16" s="20"/>
      <c r="Y16" s="20"/>
      <c r="Z16" s="20"/>
      <c r="AA16" s="20"/>
      <c r="AB16" s="20" t="n">
        <v>1</v>
      </c>
      <c r="AC16" s="20"/>
      <c r="AD16" s="20"/>
      <c r="AE16" s="20"/>
      <c r="AF16" s="20"/>
      <c r="AG16" s="20"/>
    </row>
    <row r="17" customFormat="false" ht="15" hidden="false" customHeight="false" outlineLevel="0" collapsed="false">
      <c r="A17" s="15" t="s">
        <v>138</v>
      </c>
      <c r="B17" s="15" t="n">
        <v>2</v>
      </c>
      <c r="C17" s="15" t="s">
        <v>129</v>
      </c>
      <c r="D17" s="15" t="s">
        <v>139</v>
      </c>
      <c r="E17" s="15" t="s">
        <v>105</v>
      </c>
      <c r="F17" s="15" t="s">
        <v>136</v>
      </c>
      <c r="G17" s="15"/>
      <c r="H17" s="20" t="n">
        <v>2</v>
      </c>
      <c r="I17" s="20" t="n">
        <v>3</v>
      </c>
      <c r="J17" s="20" t="n">
        <v>5</v>
      </c>
      <c r="K17" s="7" t="n">
        <f aca="false">(H17+4*I17+J17)/6</f>
        <v>3.16666666666667</v>
      </c>
      <c r="L17" s="7" t="n">
        <f aca="false">(J17-H17)/6</f>
        <v>0.5</v>
      </c>
      <c r="M17" s="7" t="n">
        <f aca="false">MAX(N16)</f>
        <v>73.1666666666667</v>
      </c>
      <c r="N17" s="7" t="n">
        <f aca="false">M17+K17</f>
        <v>76.3333333333333</v>
      </c>
      <c r="O17" s="7" t="n">
        <f aca="false">P17-K17</f>
        <v>85.8333333333333</v>
      </c>
      <c r="P17" s="7" t="n">
        <f aca="false">MIN(O19,O23)</f>
        <v>89</v>
      </c>
      <c r="Q17" s="7" t="n">
        <f aca="false">O17-M17</f>
        <v>12.6666666666667</v>
      </c>
      <c r="R17" s="5" t="str">
        <f aca="false">IF(Q17&lt;0.01,"yes","")</f>
        <v/>
      </c>
      <c r="S17" s="7" t="n">
        <f aca="false">K17*SUM(V17:AG17)</f>
        <v>3.16666666666667</v>
      </c>
      <c r="T17" s="12" t="n">
        <f aca="false">K17*SUMPRODUCT(V$2:AG$2,V17:AG17)</f>
        <v>886.666666666667</v>
      </c>
      <c r="U17" s="12" t="n">
        <f aca="false">K17*SUMPRODUCT(V$1:AG$1,V17:AG17)</f>
        <v>1583.33333333333</v>
      </c>
      <c r="V17" s="20"/>
      <c r="W17" s="20"/>
      <c r="X17" s="20"/>
      <c r="Y17" s="20"/>
      <c r="Z17" s="20"/>
      <c r="AA17" s="20" t="n">
        <v>0.5</v>
      </c>
      <c r="AB17" s="20" t="n">
        <v>0.5</v>
      </c>
      <c r="AC17" s="20"/>
      <c r="AD17" s="20"/>
      <c r="AE17" s="20"/>
      <c r="AF17" s="20"/>
      <c r="AG17" s="20"/>
    </row>
    <row r="18" customFormat="false" ht="15" hidden="false" customHeight="false" outlineLevel="0" collapsed="false">
      <c r="A18" s="15" t="s">
        <v>140</v>
      </c>
      <c r="B18" s="15" t="n">
        <v>2</v>
      </c>
      <c r="C18" s="15" t="s">
        <v>129</v>
      </c>
      <c r="D18" s="15" t="s">
        <v>141</v>
      </c>
      <c r="E18" s="15" t="s">
        <v>105</v>
      </c>
      <c r="F18" s="15" t="s">
        <v>136</v>
      </c>
      <c r="G18" s="15"/>
      <c r="H18" s="20" t="n">
        <v>10</v>
      </c>
      <c r="I18" s="20" t="n">
        <v>15</v>
      </c>
      <c r="J18" s="20" t="n">
        <v>25</v>
      </c>
      <c r="K18" s="7" t="n">
        <f aca="false">(H18+4*I18+J18)/6</f>
        <v>15.8333333333333</v>
      </c>
      <c r="L18" s="7" t="n">
        <f aca="false">(J18-H18)/6</f>
        <v>2.5</v>
      </c>
      <c r="M18" s="7" t="n">
        <f aca="false">MAX(N16)</f>
        <v>73.1666666666667</v>
      </c>
      <c r="N18" s="7" t="n">
        <f aca="false">M18+K18</f>
        <v>89</v>
      </c>
      <c r="O18" s="7" t="n">
        <f aca="false">P18-K18</f>
        <v>73.1666666666667</v>
      </c>
      <c r="P18" s="7" t="n">
        <f aca="false">MIN(O19)</f>
        <v>89</v>
      </c>
      <c r="Q18" s="7" t="n">
        <f aca="false">O18-M18</f>
        <v>0</v>
      </c>
      <c r="R18" s="5" t="str">
        <f aca="false">IF(Q18&lt;0.01,"yes","")</f>
        <v>yes</v>
      </c>
      <c r="S18" s="7" t="n">
        <f aca="false">K18*SUM(V18:AG18)</f>
        <v>19</v>
      </c>
      <c r="T18" s="12" t="n">
        <f aca="false">K18*SUMPRODUCT(V$2:AG$2,V18:AG18)</f>
        <v>4845</v>
      </c>
      <c r="U18" s="12" t="n">
        <f aca="false">K18*SUMPRODUCT(V$1:AG$1,V18:AG18)</f>
        <v>8708.33333333333</v>
      </c>
      <c r="V18" s="20"/>
      <c r="W18" s="20"/>
      <c r="X18" s="20"/>
      <c r="Y18" s="20"/>
      <c r="Z18" s="20"/>
      <c r="AA18" s="20"/>
      <c r="AB18" s="20" t="n">
        <v>0.2</v>
      </c>
      <c r="AC18" s="20" t="n">
        <v>1</v>
      </c>
      <c r="AD18" s="20"/>
      <c r="AE18" s="20"/>
      <c r="AF18" s="20"/>
      <c r="AG18" s="20"/>
    </row>
    <row r="19" customFormat="false" ht="15" hidden="false" customHeight="false" outlineLevel="0" collapsed="false">
      <c r="A19" s="15" t="s">
        <v>142</v>
      </c>
      <c r="B19" s="15" t="n">
        <v>2</v>
      </c>
      <c r="C19" s="15" t="s">
        <v>129</v>
      </c>
      <c r="D19" s="15" t="s">
        <v>143</v>
      </c>
      <c r="E19" s="15" t="s">
        <v>105</v>
      </c>
      <c r="F19" s="15" t="s">
        <v>144</v>
      </c>
      <c r="G19" s="15"/>
      <c r="H19" s="20" t="n">
        <v>3</v>
      </c>
      <c r="I19" s="20" t="n">
        <v>5</v>
      </c>
      <c r="J19" s="20" t="n">
        <v>10</v>
      </c>
      <c r="K19" s="7" t="n">
        <f aca="false">(H19+4*I19+J19)/6</f>
        <v>5.5</v>
      </c>
      <c r="L19" s="7" t="n">
        <f aca="false">(J19-H19)/6</f>
        <v>1.16666666666667</v>
      </c>
      <c r="M19" s="7" t="n">
        <f aca="false">MAX(N17,N18)</f>
        <v>89</v>
      </c>
      <c r="N19" s="7" t="n">
        <f aca="false">M19+K19</f>
        <v>94.5</v>
      </c>
      <c r="O19" s="7" t="n">
        <f aca="false">P19-K19</f>
        <v>89</v>
      </c>
      <c r="P19" s="7" t="n">
        <f aca="false">MIN(O20,O21,O22)</f>
        <v>94.5</v>
      </c>
      <c r="Q19" s="7" t="n">
        <f aca="false">O19-M19</f>
        <v>0</v>
      </c>
      <c r="R19" s="5" t="str">
        <f aca="false">IF(Q19&lt;0.01,"yes","")</f>
        <v>yes</v>
      </c>
      <c r="S19" s="7" t="n">
        <f aca="false">K19*SUM(V19:AG19)</f>
        <v>6.6</v>
      </c>
      <c r="T19" s="12" t="n">
        <f aca="false">K19*SUMPRODUCT(V$2:AG$2,V19:AG19)</f>
        <v>1831.5</v>
      </c>
      <c r="U19" s="12" t="n">
        <f aca="false">K19*SUMPRODUCT(V$1:AG$1,V19:AG19)</f>
        <v>3283.5</v>
      </c>
      <c r="V19" s="20"/>
      <c r="W19" s="20" t="n">
        <v>0.2</v>
      </c>
      <c r="X19" s="20"/>
      <c r="Y19" s="20"/>
      <c r="Z19" s="20"/>
      <c r="AA19" s="20"/>
      <c r="AB19" s="20" t="n">
        <v>0.5</v>
      </c>
      <c r="AC19" s="20" t="n">
        <v>0.5</v>
      </c>
      <c r="AD19" s="20"/>
      <c r="AE19" s="20"/>
      <c r="AF19" s="20"/>
      <c r="AG19" s="20"/>
    </row>
    <row r="20" customFormat="false" ht="15" hidden="false" customHeight="false" outlineLevel="0" collapsed="false">
      <c r="A20" s="15" t="s">
        <v>145</v>
      </c>
      <c r="B20" s="15" t="n">
        <v>2</v>
      </c>
      <c r="C20" s="15" t="s">
        <v>129</v>
      </c>
      <c r="D20" s="15" t="s">
        <v>146</v>
      </c>
      <c r="E20" s="15" t="s">
        <v>116</v>
      </c>
      <c r="F20" s="15" t="s">
        <v>142</v>
      </c>
      <c r="G20" s="15"/>
      <c r="H20" s="20" t="n">
        <v>15</v>
      </c>
      <c r="I20" s="20" t="n">
        <v>20</v>
      </c>
      <c r="J20" s="20" t="n">
        <v>30</v>
      </c>
      <c r="K20" s="7" t="n">
        <f aca="false">(H20+4*I20+J20)/6</f>
        <v>20.8333333333333</v>
      </c>
      <c r="L20" s="7" t="n">
        <f aca="false">(J20-H20)/6</f>
        <v>2.5</v>
      </c>
      <c r="M20" s="7" t="n">
        <f aca="false">MAX(N19)</f>
        <v>94.5</v>
      </c>
      <c r="N20" s="7" t="n">
        <f aca="false">M20+K20</f>
        <v>115.333333333333</v>
      </c>
      <c r="O20" s="7" t="n">
        <f aca="false">P20-K20</f>
        <v>94.5</v>
      </c>
      <c r="P20" s="7" t="n">
        <f aca="false">MIN(O25)</f>
        <v>115.333333333333</v>
      </c>
      <c r="Q20" s="7" t="n">
        <f aca="false">O20-M20</f>
        <v>0</v>
      </c>
      <c r="R20" s="5" t="str">
        <f aca="false">IF(Q20&lt;0.01,"yes","")</f>
        <v>yes</v>
      </c>
      <c r="S20" s="7" t="n">
        <f aca="false">K20*SUM(V20:AG20)</f>
        <v>4.16666666666667</v>
      </c>
      <c r="T20" s="12" t="n">
        <f aca="false">K20*SUMPRODUCT(V$2:AG$2,V20:AG20)</f>
        <v>1166.66666666667</v>
      </c>
      <c r="U20" s="12" t="n">
        <f aca="false">K20*SUMPRODUCT(V$1:AG$1,V20:AG20)</f>
        <v>2083.33333333333</v>
      </c>
      <c r="V20" s="20"/>
      <c r="W20" s="20"/>
      <c r="X20" s="20"/>
      <c r="Y20" s="20"/>
      <c r="Z20" s="20"/>
      <c r="AA20" s="20"/>
      <c r="AB20" s="20" t="n">
        <v>0.2</v>
      </c>
      <c r="AC20" s="20"/>
      <c r="AD20" s="20"/>
      <c r="AE20" s="20"/>
      <c r="AF20" s="20"/>
      <c r="AG20" s="20"/>
    </row>
    <row r="21" customFormat="false" ht="15" hidden="false" customHeight="false" outlineLevel="0" collapsed="false">
      <c r="A21" s="15" t="s">
        <v>147</v>
      </c>
      <c r="B21" s="15" t="n">
        <v>2</v>
      </c>
      <c r="C21" s="15" t="s">
        <v>129</v>
      </c>
      <c r="D21" s="15" t="s">
        <v>148</v>
      </c>
      <c r="E21" s="15" t="s">
        <v>116</v>
      </c>
      <c r="F21" s="15" t="s">
        <v>142</v>
      </c>
      <c r="G21" s="15"/>
      <c r="H21" s="20" t="n">
        <v>10</v>
      </c>
      <c r="I21" s="20" t="n">
        <v>18</v>
      </c>
      <c r="J21" s="20" t="n">
        <v>30</v>
      </c>
      <c r="K21" s="7" t="n">
        <f aca="false">(H21+4*I21+J21)/6</f>
        <v>18.6666666666667</v>
      </c>
      <c r="L21" s="7" t="n">
        <f aca="false">(J21-H21)/6</f>
        <v>3.33333333333333</v>
      </c>
      <c r="M21" s="7" t="n">
        <f aca="false">MAX(N19)</f>
        <v>94.5</v>
      </c>
      <c r="N21" s="7" t="n">
        <f aca="false">M21+K21</f>
        <v>113.166666666667</v>
      </c>
      <c r="O21" s="7" t="n">
        <f aca="false">P21-K21</f>
        <v>96.6666666666667</v>
      </c>
      <c r="P21" s="7" t="n">
        <f aca="false">MIN(O25)</f>
        <v>115.333333333333</v>
      </c>
      <c r="Q21" s="7" t="n">
        <f aca="false">O21-M21</f>
        <v>2.16666666666667</v>
      </c>
      <c r="R21" s="5" t="str">
        <f aca="false">IF(Q21&lt;0.01,"yes","")</f>
        <v/>
      </c>
      <c r="S21" s="7" t="n">
        <f aca="false">K21*SUM(V21:AG21)</f>
        <v>3.73333333333333</v>
      </c>
      <c r="T21" s="12" t="n">
        <f aca="false">K21*SUMPRODUCT(V$2:AG$2,V21:AG21)</f>
        <v>933.333333333333</v>
      </c>
      <c r="U21" s="12" t="n">
        <f aca="false">K21*SUMPRODUCT(V$1:AG$1,V21:AG21)</f>
        <v>1680</v>
      </c>
      <c r="V21" s="20"/>
      <c r="W21" s="20"/>
      <c r="X21" s="20"/>
      <c r="Y21" s="20"/>
      <c r="Z21" s="20"/>
      <c r="AA21" s="20"/>
      <c r="AB21" s="20"/>
      <c r="AC21" s="20" t="n">
        <v>0.2</v>
      </c>
      <c r="AD21" s="20"/>
      <c r="AE21" s="20"/>
      <c r="AF21" s="20"/>
      <c r="AG21" s="20"/>
    </row>
    <row r="22" customFormat="false" ht="15" hidden="false" customHeight="false" outlineLevel="0" collapsed="false">
      <c r="A22" s="15" t="s">
        <v>149</v>
      </c>
      <c r="B22" s="15" t="n">
        <v>2</v>
      </c>
      <c r="C22" s="15" t="s">
        <v>129</v>
      </c>
      <c r="D22" s="15" t="s">
        <v>150</v>
      </c>
      <c r="E22" s="15" t="s">
        <v>116</v>
      </c>
      <c r="F22" s="15" t="s">
        <v>142</v>
      </c>
      <c r="G22" s="15"/>
      <c r="H22" s="20" t="n">
        <v>10</v>
      </c>
      <c r="I22" s="20" t="n">
        <v>15</v>
      </c>
      <c r="J22" s="20" t="n">
        <v>25</v>
      </c>
      <c r="K22" s="7" t="n">
        <f aca="false">(H22+4*I22+J22)/6</f>
        <v>15.8333333333333</v>
      </c>
      <c r="L22" s="7" t="n">
        <f aca="false">(J22-H22)/6</f>
        <v>2.5</v>
      </c>
      <c r="M22" s="7" t="n">
        <f aca="false">MAX(N19)</f>
        <v>94.5</v>
      </c>
      <c r="N22" s="7" t="n">
        <f aca="false">M22+K22</f>
        <v>110.333333333333</v>
      </c>
      <c r="O22" s="7" t="n">
        <f aca="false">P22-K22</f>
        <v>99.5</v>
      </c>
      <c r="P22" s="7" t="n">
        <f aca="false">MIN(O24,O25)</f>
        <v>115.333333333333</v>
      </c>
      <c r="Q22" s="7" t="n">
        <f aca="false">O22-M22</f>
        <v>5.00000000000001</v>
      </c>
      <c r="R22" s="5" t="str">
        <f aca="false">IF(Q22&lt;0.01,"yes","")</f>
        <v/>
      </c>
      <c r="S22" s="7" t="n">
        <f aca="false">K22*SUM(V22:AG22)</f>
        <v>7.91666666666667</v>
      </c>
      <c r="T22" s="12" t="n">
        <f aca="false">K22*SUMPRODUCT(V$2:AG$2,V22:AG22)</f>
        <v>1425</v>
      </c>
      <c r="U22" s="12" t="n">
        <f aca="false">K22*SUMPRODUCT(V$1:AG$1,V22:AG22)</f>
        <v>2533.33333333333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 t="n">
        <v>0.5</v>
      </c>
    </row>
    <row r="23" customFormat="false" ht="15" hidden="false" customHeight="false" outlineLevel="0" collapsed="false">
      <c r="A23" s="15" t="s">
        <v>151</v>
      </c>
      <c r="B23" s="15" t="n">
        <v>2</v>
      </c>
      <c r="C23" s="15" t="s">
        <v>129</v>
      </c>
      <c r="D23" s="15" t="s">
        <v>152</v>
      </c>
      <c r="E23" s="15" t="s">
        <v>105</v>
      </c>
      <c r="F23" s="15" t="s">
        <v>138</v>
      </c>
      <c r="G23" s="15"/>
      <c r="H23" s="20" t="n">
        <v>10</v>
      </c>
      <c r="I23" s="20" t="n">
        <v>15</v>
      </c>
      <c r="J23" s="20" t="n">
        <v>25</v>
      </c>
      <c r="K23" s="7" t="n">
        <f aca="false">(H23+4*I23+J23)/6</f>
        <v>15.8333333333333</v>
      </c>
      <c r="L23" s="7" t="n">
        <f aca="false">(J23-H23)/6</f>
        <v>2.5</v>
      </c>
      <c r="M23" s="7" t="n">
        <f aca="false">MAX(N17)</f>
        <v>76.3333333333333</v>
      </c>
      <c r="N23" s="7" t="n">
        <f aca="false">M23+K23</f>
        <v>92.1666666666667</v>
      </c>
      <c r="O23" s="7" t="n">
        <f aca="false">P23-K23</f>
        <v>108.166666666667</v>
      </c>
      <c r="P23" s="7" t="n">
        <f aca="false">MIN(O26)</f>
        <v>124</v>
      </c>
      <c r="Q23" s="7" t="n">
        <f aca="false">O23-M23</f>
        <v>31.8333333333333</v>
      </c>
      <c r="R23" s="5" t="str">
        <f aca="false">IF(Q23&lt;0.01,"yes","")</f>
        <v/>
      </c>
      <c r="S23" s="7" t="n">
        <f aca="false">K23*SUM(V23:AG23)</f>
        <v>15.8333333333333</v>
      </c>
      <c r="T23" s="12" t="n">
        <f aca="false">K23*SUMPRODUCT(V$2:AG$2,V23:AG23)</f>
        <v>4433.33333333333</v>
      </c>
      <c r="U23" s="12" t="n">
        <f aca="false">K23*SUMPRODUCT(V$1:AG$1,V23:AG23)</f>
        <v>7916.66666666667</v>
      </c>
      <c r="V23" s="20"/>
      <c r="W23" s="20"/>
      <c r="X23" s="20"/>
      <c r="Y23" s="20"/>
      <c r="Z23" s="20"/>
      <c r="AA23" s="20" t="n">
        <v>1</v>
      </c>
      <c r="AB23" s="20"/>
      <c r="AC23" s="20"/>
      <c r="AD23" s="20"/>
      <c r="AE23" s="20"/>
      <c r="AF23" s="20"/>
      <c r="AG23" s="20"/>
    </row>
    <row r="24" customFormat="false" ht="15" hidden="false" customHeight="false" outlineLevel="0" collapsed="false">
      <c r="A24" s="15" t="s">
        <v>153</v>
      </c>
      <c r="B24" s="15" t="n">
        <v>2</v>
      </c>
      <c r="C24" s="15" t="s">
        <v>129</v>
      </c>
      <c r="D24" s="15" t="s">
        <v>154</v>
      </c>
      <c r="E24" s="15" t="s">
        <v>105</v>
      </c>
      <c r="F24" s="15" t="s">
        <v>149</v>
      </c>
      <c r="G24" s="15"/>
      <c r="H24" s="20" t="n">
        <v>8</v>
      </c>
      <c r="I24" s="20" t="n">
        <v>12</v>
      </c>
      <c r="J24" s="20" t="n">
        <v>20</v>
      </c>
      <c r="K24" s="7" t="n">
        <f aca="false">(H24+4*I24+J24)/6</f>
        <v>12.6666666666667</v>
      </c>
      <c r="L24" s="7" t="n">
        <f aca="false">(J24-H24)/6</f>
        <v>2</v>
      </c>
      <c r="M24" s="7" t="n">
        <f aca="false">MAX(N22)</f>
        <v>110.333333333333</v>
      </c>
      <c r="N24" s="7" t="n">
        <f aca="false">M24+K24</f>
        <v>123</v>
      </c>
      <c r="O24" s="7" t="n">
        <f aca="false">P24-K24</f>
        <v>117.666666666667</v>
      </c>
      <c r="P24" s="7" t="n">
        <f aca="false">MIN(O30)</f>
        <v>130.333333333333</v>
      </c>
      <c r="Q24" s="7" t="n">
        <f aca="false">O24-M24</f>
        <v>7.33333333333334</v>
      </c>
      <c r="R24" s="5" t="str">
        <f aca="false">IF(Q24&lt;0.01,"yes","")</f>
        <v/>
      </c>
      <c r="S24" s="7" t="n">
        <f aca="false">K24*SUM(V24:AG24)</f>
        <v>19</v>
      </c>
      <c r="T24" s="12" t="n">
        <f aca="false">K24*SUMPRODUCT(V$2:AG$2,V24:AG24)</f>
        <v>3546.66666666667</v>
      </c>
      <c r="U24" s="12" t="n">
        <f aca="false">K24*SUMPRODUCT(V$1:AG$1,V24:AG24)</f>
        <v>6333.33333333333</v>
      </c>
      <c r="V24" s="20"/>
      <c r="W24" s="20"/>
      <c r="X24" s="20"/>
      <c r="Y24" s="20"/>
      <c r="Z24" s="20"/>
      <c r="AA24" s="20"/>
      <c r="AB24" s="20" t="n">
        <v>0.5</v>
      </c>
      <c r="AC24" s="20"/>
      <c r="AD24" s="20"/>
      <c r="AE24" s="20"/>
      <c r="AF24" s="20" t="n">
        <v>1</v>
      </c>
      <c r="AG24" s="20"/>
    </row>
    <row r="25" customFormat="false" ht="15" hidden="false" customHeight="false" outlineLevel="0" collapsed="false">
      <c r="A25" s="15" t="s">
        <v>155</v>
      </c>
      <c r="B25" s="15" t="n">
        <v>2</v>
      </c>
      <c r="C25" s="15" t="s">
        <v>129</v>
      </c>
      <c r="D25" s="15" t="s">
        <v>156</v>
      </c>
      <c r="E25" s="15" t="s">
        <v>105</v>
      </c>
      <c r="F25" s="15" t="s">
        <v>157</v>
      </c>
      <c r="G25" s="15"/>
      <c r="H25" s="20" t="n">
        <v>5</v>
      </c>
      <c r="I25" s="20" t="n">
        <v>8</v>
      </c>
      <c r="J25" s="20" t="n">
        <v>15</v>
      </c>
      <c r="K25" s="7" t="n">
        <f aca="false">(H25+4*I25+J25)/6</f>
        <v>8.66666666666667</v>
      </c>
      <c r="L25" s="7" t="n">
        <f aca="false">(J25-H25)/6</f>
        <v>1.66666666666667</v>
      </c>
      <c r="M25" s="7" t="n">
        <f aca="false">MAX(N20,N21,N22)</f>
        <v>115.333333333333</v>
      </c>
      <c r="N25" s="7" t="n">
        <f aca="false">M25+K25</f>
        <v>124</v>
      </c>
      <c r="O25" s="7" t="n">
        <f aca="false">P25-K25</f>
        <v>115.333333333333</v>
      </c>
      <c r="P25" s="7" t="n">
        <f aca="false">MIN(O26)</f>
        <v>124</v>
      </c>
      <c r="Q25" s="7" t="n">
        <f aca="false">O25-M25</f>
        <v>0</v>
      </c>
      <c r="R25" s="5" t="str">
        <f aca="false">IF(Q25&lt;0.01,"yes","")</f>
        <v>yes</v>
      </c>
      <c r="S25" s="7" t="n">
        <f aca="false">K25*SUM(V25:AG25)</f>
        <v>13.8666666666667</v>
      </c>
      <c r="T25" s="12" t="n">
        <f aca="false">K25*SUMPRODUCT(V$2:AG$2,V25:AG25)</f>
        <v>2591.33333333333</v>
      </c>
      <c r="U25" s="12" t="n">
        <f aca="false">K25*SUMPRODUCT(V$1:AG$1,V25:AG25)</f>
        <v>4636.66666666667</v>
      </c>
      <c r="V25" s="20"/>
      <c r="W25" s="20"/>
      <c r="X25" s="20"/>
      <c r="Y25" s="20"/>
      <c r="Z25" s="20"/>
      <c r="AA25" s="20"/>
      <c r="AB25" s="20" t="n">
        <v>0.3</v>
      </c>
      <c r="AC25" s="20" t="n">
        <v>0.3</v>
      </c>
      <c r="AD25" s="20"/>
      <c r="AE25" s="20"/>
      <c r="AF25" s="20" t="n">
        <v>1</v>
      </c>
      <c r="AG25" s="20"/>
    </row>
    <row r="26" customFormat="false" ht="15" hidden="false" customHeight="false" outlineLevel="0" collapsed="false">
      <c r="A26" s="15" t="s">
        <v>158</v>
      </c>
      <c r="B26" s="15" t="n">
        <v>2</v>
      </c>
      <c r="C26" s="15" t="s">
        <v>129</v>
      </c>
      <c r="D26" s="15" t="s">
        <v>159</v>
      </c>
      <c r="E26" s="15" t="s">
        <v>105</v>
      </c>
      <c r="F26" s="15" t="s">
        <v>160</v>
      </c>
      <c r="G26" s="15"/>
      <c r="H26" s="20" t="n">
        <v>4</v>
      </c>
      <c r="I26" s="20" t="n">
        <v>6</v>
      </c>
      <c r="J26" s="20" t="n">
        <v>10</v>
      </c>
      <c r="K26" s="7" t="n">
        <f aca="false">(H26+4*I26+J26)/6</f>
        <v>6.33333333333333</v>
      </c>
      <c r="L26" s="7" t="n">
        <f aca="false">(J26-H26)/6</f>
        <v>1</v>
      </c>
      <c r="M26" s="7" t="n">
        <f aca="false">MAX(N23,N25)</f>
        <v>124</v>
      </c>
      <c r="N26" s="7" t="n">
        <f aca="false">M26+K26</f>
        <v>130.333333333333</v>
      </c>
      <c r="O26" s="7" t="n">
        <f aca="false">P26-K26</f>
        <v>124</v>
      </c>
      <c r="P26" s="7" t="n">
        <f aca="false">MIN(O30)</f>
        <v>130.333333333333</v>
      </c>
      <c r="Q26" s="7" t="n">
        <f aca="false">O26-M26</f>
        <v>0</v>
      </c>
      <c r="R26" s="5" t="str">
        <f aca="false">IF(Q26&lt;0.01,"yes","")</f>
        <v>yes</v>
      </c>
      <c r="S26" s="7" t="n">
        <f aca="false">K26*SUM(V26:AG26)</f>
        <v>9.5</v>
      </c>
      <c r="T26" s="12" t="n">
        <f aca="false">K26*SUMPRODUCT(V$2:AG$2,V26:AG26)</f>
        <v>2470</v>
      </c>
      <c r="U26" s="12" t="n">
        <f aca="false">K26*SUMPRODUCT(V$1:AG$1,V26:AG26)</f>
        <v>4433.33333333333</v>
      </c>
      <c r="V26" s="20"/>
      <c r="W26" s="20"/>
      <c r="X26" s="20"/>
      <c r="Y26" s="20"/>
      <c r="Z26" s="20"/>
      <c r="AA26" s="20" t="n">
        <v>1</v>
      </c>
      <c r="AB26" s="20"/>
      <c r="AC26" s="20"/>
      <c r="AD26" s="20"/>
      <c r="AE26" s="20" t="n">
        <v>0.5</v>
      </c>
      <c r="AF26" s="20"/>
      <c r="AG26" s="20"/>
    </row>
    <row r="27" customFormat="false" ht="15" hidden="false" customHeight="false" outlineLevel="0" collapsed="false">
      <c r="A27" s="15" t="s">
        <v>161</v>
      </c>
      <c r="B27" s="15" t="n">
        <v>2</v>
      </c>
      <c r="C27" s="15" t="s">
        <v>129</v>
      </c>
      <c r="D27" s="15" t="s">
        <v>162</v>
      </c>
      <c r="E27" s="15" t="s">
        <v>105</v>
      </c>
      <c r="F27" s="15" t="s">
        <v>126</v>
      </c>
      <c r="G27" s="15"/>
      <c r="H27" s="20" t="n">
        <v>20</v>
      </c>
      <c r="I27" s="20" t="n">
        <v>30</v>
      </c>
      <c r="J27" s="20" t="n">
        <v>45</v>
      </c>
      <c r="K27" s="7" t="n">
        <f aca="false">(H27+4*I27+J27)/6</f>
        <v>30.8333333333333</v>
      </c>
      <c r="L27" s="7" t="n">
        <f aca="false">(J27-H27)/6</f>
        <v>4.16666666666667</v>
      </c>
      <c r="M27" s="7" t="n">
        <f aca="false">MAX(N12)</f>
        <v>61.3333333333333</v>
      </c>
      <c r="N27" s="7" t="n">
        <f aca="false">M27+K27</f>
        <v>92.1666666666667</v>
      </c>
      <c r="O27" s="7" t="n">
        <f aca="false">P27-K27</f>
        <v>99.5</v>
      </c>
      <c r="P27" s="7" t="n">
        <f aca="false">MIN(O30)</f>
        <v>130.333333333333</v>
      </c>
      <c r="Q27" s="7" t="n">
        <f aca="false">O27-M27</f>
        <v>38.1666666666667</v>
      </c>
      <c r="R27" s="5" t="str">
        <f aca="false">IF(Q27&lt;0.01,"yes","")</f>
        <v/>
      </c>
      <c r="S27" s="7" t="n">
        <f aca="false">K27*SUM(V27:AG27)</f>
        <v>61.6666666666667</v>
      </c>
      <c r="T27" s="12" t="n">
        <f aca="false">K27*SUMPRODUCT(V$2:AG$2,V27:AG27)</f>
        <v>17266.6666666667</v>
      </c>
      <c r="U27" s="12" t="n">
        <f aca="false">K27*SUMPRODUCT(V$1:AG$1,V27:AG27)</f>
        <v>31141.6666666667</v>
      </c>
      <c r="V27" s="20"/>
      <c r="W27" s="20"/>
      <c r="X27" s="20" t="n">
        <v>1</v>
      </c>
      <c r="Y27" s="20"/>
      <c r="Z27" s="20" t="n">
        <v>1</v>
      </c>
      <c r="AA27" s="20"/>
      <c r="AB27" s="20"/>
      <c r="AC27" s="20"/>
      <c r="AD27" s="20"/>
      <c r="AE27" s="20"/>
      <c r="AF27" s="20"/>
      <c r="AG27" s="20"/>
    </row>
    <row r="28" customFormat="false" ht="15" hidden="false" customHeight="false" outlineLevel="0" collapsed="false">
      <c r="A28" s="15" t="s">
        <v>163</v>
      </c>
      <c r="B28" s="15" t="n">
        <v>2</v>
      </c>
      <c r="C28" s="15" t="s">
        <v>129</v>
      </c>
      <c r="D28" s="15" t="s">
        <v>164</v>
      </c>
      <c r="E28" s="15" t="s">
        <v>105</v>
      </c>
      <c r="F28" s="15" t="s">
        <v>126</v>
      </c>
      <c r="G28" s="15"/>
      <c r="H28" s="20" t="n">
        <v>20</v>
      </c>
      <c r="I28" s="20" t="n">
        <v>30</v>
      </c>
      <c r="J28" s="20" t="n">
        <v>45</v>
      </c>
      <c r="K28" s="7" t="n">
        <f aca="false">(H28+4*I28+J28)/6</f>
        <v>30.8333333333333</v>
      </c>
      <c r="L28" s="7" t="n">
        <f aca="false">(J28-H28)/6</f>
        <v>4.16666666666667</v>
      </c>
      <c r="M28" s="7" t="n">
        <f aca="false">MAX(N12)</f>
        <v>61.3333333333333</v>
      </c>
      <c r="N28" s="7" t="n">
        <f aca="false">M28+K28</f>
        <v>92.1666666666667</v>
      </c>
      <c r="O28" s="7" t="n">
        <f aca="false">P28-K28</f>
        <v>115.333333333333</v>
      </c>
      <c r="P28" s="7" t="n">
        <f aca="false">MIN(O32)</f>
        <v>146.166666666667</v>
      </c>
      <c r="Q28" s="7" t="n">
        <f aca="false">O28-M28</f>
        <v>54</v>
      </c>
      <c r="R28" s="5" t="str">
        <f aca="false">IF(Q28&lt;0.01,"yes","")</f>
        <v/>
      </c>
      <c r="S28" s="7" t="n">
        <f aca="false">K28*SUM(V28:AG28)</f>
        <v>46.25</v>
      </c>
      <c r="T28" s="12" t="n">
        <f aca="false">K28*SUMPRODUCT(V$2:AG$2,V28:AG28)</f>
        <v>13135</v>
      </c>
      <c r="U28" s="12" t="n">
        <f aca="false">K28*SUMPRODUCT(V$1:AG$1,V28:AG28)</f>
        <v>23772.5</v>
      </c>
      <c r="V28" s="20"/>
      <c r="W28" s="20"/>
      <c r="X28" s="20"/>
      <c r="Y28" s="20" t="n">
        <v>1</v>
      </c>
      <c r="Z28" s="20" t="n">
        <v>0.3</v>
      </c>
      <c r="AA28" s="20"/>
      <c r="AB28" s="20"/>
      <c r="AC28" s="20"/>
      <c r="AD28" s="20"/>
      <c r="AE28" s="20"/>
      <c r="AF28" s="20" t="n">
        <v>0.2</v>
      </c>
      <c r="AG28" s="20"/>
    </row>
    <row r="29" customFormat="false" ht="15" hidden="false" customHeight="false" outlineLevel="0" collapsed="false">
      <c r="A29" s="15" t="s">
        <v>165</v>
      </c>
      <c r="B29" s="15" t="n">
        <v>2</v>
      </c>
      <c r="C29" s="15" t="s">
        <v>129</v>
      </c>
      <c r="D29" s="15" t="s">
        <v>166</v>
      </c>
      <c r="E29" s="15" t="s">
        <v>105</v>
      </c>
      <c r="F29" s="15" t="s">
        <v>128</v>
      </c>
      <c r="G29" s="15"/>
      <c r="H29" s="20" t="n">
        <v>8</v>
      </c>
      <c r="I29" s="20" t="n">
        <v>12</v>
      </c>
      <c r="J29" s="20" t="n">
        <v>20</v>
      </c>
      <c r="K29" s="7" t="n">
        <f aca="false">(H29+4*I29+J29)/6</f>
        <v>12.6666666666667</v>
      </c>
      <c r="L29" s="7" t="n">
        <f aca="false">(J29-H29)/6</f>
        <v>2</v>
      </c>
      <c r="M29" s="7" t="n">
        <f aca="false">MAX(N13)</f>
        <v>52.3333333333333</v>
      </c>
      <c r="N29" s="7" t="n">
        <f aca="false">M29+K29</f>
        <v>65</v>
      </c>
      <c r="O29" s="7" t="n">
        <f aca="false">P29-K29</f>
        <v>117.666666666667</v>
      </c>
      <c r="P29" s="7" t="n">
        <f aca="false">MIN(O30)</f>
        <v>130.333333333333</v>
      </c>
      <c r="Q29" s="7" t="n">
        <f aca="false">O29-M29</f>
        <v>65.3333333333333</v>
      </c>
      <c r="R29" s="5" t="str">
        <f aca="false">IF(Q29&lt;0.01,"yes","")</f>
        <v/>
      </c>
      <c r="S29" s="7" t="n">
        <f aca="false">K29*SUM(V29:AG29)</f>
        <v>8.86666666666667</v>
      </c>
      <c r="T29" s="12" t="n">
        <f aca="false">K29*SUMPRODUCT(V$2:AG$2,V29:AG29)</f>
        <v>2508</v>
      </c>
      <c r="U29" s="12" t="n">
        <f aca="false">K29*SUMPRODUCT(V$1:AG$1,V29:AG29)</f>
        <v>4522</v>
      </c>
      <c r="V29" s="20"/>
      <c r="W29" s="20" t="n">
        <v>0.2</v>
      </c>
      <c r="X29" s="20"/>
      <c r="Y29" s="20"/>
      <c r="Z29" s="20" t="n">
        <v>0.5</v>
      </c>
      <c r="AA29" s="20"/>
      <c r="AB29" s="20"/>
      <c r="AC29" s="20"/>
      <c r="AD29" s="20"/>
      <c r="AE29" s="20"/>
      <c r="AF29" s="20"/>
      <c r="AG29" s="20"/>
    </row>
    <row r="30" customFormat="false" ht="15" hidden="false" customHeight="false" outlineLevel="0" collapsed="false">
      <c r="A30" s="15" t="s">
        <v>167</v>
      </c>
      <c r="B30" s="15" t="n">
        <v>3</v>
      </c>
      <c r="C30" s="15" t="s">
        <v>129</v>
      </c>
      <c r="D30" s="15" t="s">
        <v>168</v>
      </c>
      <c r="E30" s="15" t="s">
        <v>105</v>
      </c>
      <c r="F30" s="15" t="s">
        <v>169</v>
      </c>
      <c r="G30" s="15"/>
      <c r="H30" s="20" t="n">
        <v>10</v>
      </c>
      <c r="I30" s="20" t="n">
        <v>15</v>
      </c>
      <c r="J30" s="20" t="n">
        <v>25</v>
      </c>
      <c r="K30" s="7" t="n">
        <f aca="false">(H30+4*I30+J30)/6</f>
        <v>15.8333333333333</v>
      </c>
      <c r="L30" s="7" t="n">
        <f aca="false">(J30-H30)/6</f>
        <v>2.5</v>
      </c>
      <c r="M30" s="7" t="n">
        <f aca="false">MAX(N15,N24,N26,N27,N29)</f>
        <v>130.333333333333</v>
      </c>
      <c r="N30" s="7" t="n">
        <f aca="false">M30+K30</f>
        <v>146.166666666667</v>
      </c>
      <c r="O30" s="7" t="n">
        <f aca="false">P30-K30</f>
        <v>130.333333333333</v>
      </c>
      <c r="P30" s="7" t="n">
        <f aca="false">MIN(O31,O32)</f>
        <v>146.166666666667</v>
      </c>
      <c r="Q30" s="7" t="n">
        <f aca="false">O30-M30</f>
        <v>0</v>
      </c>
      <c r="R30" s="5" t="str">
        <f aca="false">IF(Q30&lt;0.01,"yes","")</f>
        <v>yes</v>
      </c>
      <c r="S30" s="7" t="n">
        <f aca="false">K30*SUM(V30:AG30)</f>
        <v>55.4166666666667</v>
      </c>
      <c r="T30" s="12" t="n">
        <f aca="false">K30*SUMPRODUCT(V$2:AG$2,V30:AG30)</f>
        <v>14883.3333333333</v>
      </c>
      <c r="U30" s="12" t="n">
        <f aca="false">K30*SUMPRODUCT(V$1:AG$1,V30:AG30)</f>
        <v>26758.3333333333</v>
      </c>
      <c r="V30" s="20"/>
      <c r="W30" s="20"/>
      <c r="X30" s="20" t="n">
        <v>1</v>
      </c>
      <c r="Y30" s="20" t="n">
        <v>0.5</v>
      </c>
      <c r="Z30" s="20" t="n">
        <v>0.5</v>
      </c>
      <c r="AA30" s="20" t="n">
        <v>0.5</v>
      </c>
      <c r="AB30" s="20" t="n">
        <v>0.5</v>
      </c>
      <c r="AC30" s="20"/>
      <c r="AD30" s="20"/>
      <c r="AE30" s="20"/>
      <c r="AF30" s="20" t="n">
        <v>0.5</v>
      </c>
      <c r="AG30" s="20"/>
    </row>
    <row r="31" customFormat="false" ht="15" hidden="false" customHeight="false" outlineLevel="0" collapsed="false">
      <c r="A31" s="15" t="s">
        <v>170</v>
      </c>
      <c r="B31" s="15" t="n">
        <v>3</v>
      </c>
      <c r="C31" s="15" t="s">
        <v>129</v>
      </c>
      <c r="D31" s="15" t="s">
        <v>171</v>
      </c>
      <c r="E31" s="15" t="s">
        <v>105</v>
      </c>
      <c r="F31" s="15" t="s">
        <v>167</v>
      </c>
      <c r="G31" s="15"/>
      <c r="H31" s="20" t="n">
        <v>5</v>
      </c>
      <c r="I31" s="20" t="n">
        <v>8</v>
      </c>
      <c r="J31" s="20" t="n">
        <v>15</v>
      </c>
      <c r="K31" s="7" t="n">
        <f aca="false">(H31+4*I31+J31)/6</f>
        <v>8.66666666666667</v>
      </c>
      <c r="L31" s="7" t="n">
        <f aca="false">(J31-H31)/6</f>
        <v>1.66666666666667</v>
      </c>
      <c r="M31" s="7" t="n">
        <f aca="false">MAX(N30)</f>
        <v>146.166666666667</v>
      </c>
      <c r="N31" s="7" t="n">
        <f aca="false">M31+K31</f>
        <v>154.833333333333</v>
      </c>
      <c r="O31" s="7" t="n">
        <f aca="false">P31-K31</f>
        <v>150.166666666667</v>
      </c>
      <c r="P31" s="7" t="n">
        <f aca="false">MIN(O33)</f>
        <v>158.833333333333</v>
      </c>
      <c r="Q31" s="7" t="n">
        <f aca="false">O31-M31</f>
        <v>4</v>
      </c>
      <c r="R31" s="5" t="str">
        <f aca="false">IF(Q31&lt;0.01,"yes","")</f>
        <v/>
      </c>
      <c r="S31" s="7" t="n">
        <f aca="false">K31*SUM(V31:AG31)</f>
        <v>17.3333333333333</v>
      </c>
      <c r="T31" s="12" t="n">
        <f aca="false">K31*SUMPRODUCT(V$2:AG$2,V31:AG31)</f>
        <v>5373.33333333333</v>
      </c>
      <c r="U31" s="12" t="n">
        <f aca="false">K31*SUMPRODUCT(V$1:AG$1,V31:AG31)</f>
        <v>9706.66666666667</v>
      </c>
      <c r="V31" s="20"/>
      <c r="W31" s="20"/>
      <c r="X31" s="20" t="n">
        <v>0.5</v>
      </c>
      <c r="Y31" s="20"/>
      <c r="Z31" s="20"/>
      <c r="AA31" s="20"/>
      <c r="AB31" s="20"/>
      <c r="AC31" s="20"/>
      <c r="AD31" s="20" t="n">
        <v>1</v>
      </c>
      <c r="AE31" s="20" t="n">
        <v>0.5</v>
      </c>
      <c r="AF31" s="20"/>
      <c r="AG31" s="20"/>
    </row>
    <row r="32" customFormat="false" ht="15" hidden="false" customHeight="false" outlineLevel="0" collapsed="false">
      <c r="A32" s="15" t="s">
        <v>172</v>
      </c>
      <c r="B32" s="15" t="n">
        <v>3</v>
      </c>
      <c r="C32" s="15" t="s">
        <v>129</v>
      </c>
      <c r="D32" s="15" t="s">
        <v>173</v>
      </c>
      <c r="E32" s="15" t="s">
        <v>105</v>
      </c>
      <c r="F32" s="15" t="s">
        <v>174</v>
      </c>
      <c r="G32" s="15"/>
      <c r="H32" s="20" t="n">
        <v>8</v>
      </c>
      <c r="I32" s="20" t="n">
        <v>12</v>
      </c>
      <c r="J32" s="20" t="n">
        <v>20</v>
      </c>
      <c r="K32" s="7" t="n">
        <f aca="false">(H32+4*I32+J32)/6</f>
        <v>12.6666666666667</v>
      </c>
      <c r="L32" s="7" t="n">
        <f aca="false">(J32-H32)/6</f>
        <v>2</v>
      </c>
      <c r="M32" s="7" t="n">
        <f aca="false">MAX(N30,N28)</f>
        <v>146.166666666667</v>
      </c>
      <c r="N32" s="7" t="n">
        <f aca="false">M32+K32</f>
        <v>158.833333333333</v>
      </c>
      <c r="O32" s="7" t="n">
        <f aca="false">P32-K32</f>
        <v>146.166666666667</v>
      </c>
      <c r="P32" s="7" t="n">
        <f aca="false">MIN(O33)</f>
        <v>158.833333333333</v>
      </c>
      <c r="Q32" s="7" t="n">
        <f aca="false">O32-M32</f>
        <v>0</v>
      </c>
      <c r="R32" s="5" t="str">
        <f aca="false">IF(Q32&lt;0.01,"yes","")</f>
        <v>yes</v>
      </c>
      <c r="S32" s="7" t="n">
        <f aca="false">K32*SUM(V32:AG32)</f>
        <v>31.6666666666667</v>
      </c>
      <c r="T32" s="12" t="n">
        <f aca="false">K32*SUMPRODUCT(V$2:AG$2,V32:AG32)</f>
        <v>9246.66666666667</v>
      </c>
      <c r="U32" s="12" t="n">
        <f aca="false">K32*SUMPRODUCT(V$1:AG$1,V32:AG32)</f>
        <v>16720</v>
      </c>
      <c r="V32" s="20"/>
      <c r="W32" s="20"/>
      <c r="X32" s="20" t="n">
        <v>1</v>
      </c>
      <c r="Y32" s="20" t="n">
        <v>1</v>
      </c>
      <c r="Z32" s="20"/>
      <c r="AA32" s="20"/>
      <c r="AB32" s="20"/>
      <c r="AC32" s="20"/>
      <c r="AD32" s="20"/>
      <c r="AE32" s="20" t="n">
        <v>0.5</v>
      </c>
      <c r="AF32" s="20"/>
      <c r="AG32" s="20"/>
    </row>
    <row r="33" customFormat="false" ht="15" hidden="false" customHeight="false" outlineLevel="0" collapsed="false">
      <c r="A33" s="15" t="s">
        <v>175</v>
      </c>
      <c r="B33" s="15" t="n">
        <v>3</v>
      </c>
      <c r="C33" s="15" t="s">
        <v>129</v>
      </c>
      <c r="D33" s="15" t="s">
        <v>176</v>
      </c>
      <c r="E33" s="15" t="s">
        <v>105</v>
      </c>
      <c r="F33" s="15" t="s">
        <v>177</v>
      </c>
      <c r="G33" s="15" t="s">
        <v>178</v>
      </c>
      <c r="H33" s="20" t="n">
        <v>3</v>
      </c>
      <c r="I33" s="20" t="n">
        <v>4</v>
      </c>
      <c r="J33" s="20" t="n">
        <v>6</v>
      </c>
      <c r="K33" s="7" t="n">
        <f aca="false">(H33+4*I33+J33)/6</f>
        <v>4.16666666666667</v>
      </c>
      <c r="L33" s="7" t="n">
        <f aca="false">(J33-H33)/6</f>
        <v>0.5</v>
      </c>
      <c r="M33" s="7" t="n">
        <f aca="false">MAX(N31,N32)</f>
        <v>158.833333333333</v>
      </c>
      <c r="N33" s="7" t="n">
        <f aca="false">M33+K33</f>
        <v>163</v>
      </c>
      <c r="O33" s="7" t="n">
        <f aca="false">P33-K33</f>
        <v>158.833333333333</v>
      </c>
      <c r="P33" s="7" t="n">
        <f aca="false">MIN(O34)</f>
        <v>163</v>
      </c>
      <c r="Q33" s="7" t="n">
        <f aca="false">O33-M33</f>
        <v>0</v>
      </c>
      <c r="R33" s="5" t="str">
        <f aca="false">IF(Q33&lt;0.01,"yes","")</f>
        <v>yes</v>
      </c>
      <c r="S33" s="7" t="n">
        <f aca="false">K33*SUM(V33:AG33)</f>
        <v>12.5</v>
      </c>
      <c r="T33" s="12" t="n">
        <f aca="false">K33*SUMPRODUCT(V$2:AG$2,V33:AG33)</f>
        <v>3541.66666666667</v>
      </c>
      <c r="U33" s="12" t="n">
        <f aca="false">K33*SUMPRODUCT(V$1:AG$1,V33:AG33)</f>
        <v>6395.83333333333</v>
      </c>
      <c r="V33" s="20" t="n">
        <v>0.5</v>
      </c>
      <c r="W33" s="20" t="n">
        <v>0.5</v>
      </c>
      <c r="X33" s="20" t="n">
        <v>0.5</v>
      </c>
      <c r="Y33" s="20" t="n">
        <v>0.5</v>
      </c>
      <c r="Z33" s="20"/>
      <c r="AA33" s="20"/>
      <c r="AB33" s="20"/>
      <c r="AC33" s="20"/>
      <c r="AD33" s="20"/>
      <c r="AE33" s="20" t="n">
        <v>1</v>
      </c>
      <c r="AF33" s="20"/>
      <c r="AG33" s="20"/>
    </row>
    <row r="34" customFormat="false" ht="15" hidden="false" customHeight="false" outlineLevel="0" collapsed="false">
      <c r="A34" s="15" t="s">
        <v>179</v>
      </c>
      <c r="B34" s="15" t="n">
        <v>3</v>
      </c>
      <c r="C34" s="15" t="s">
        <v>129</v>
      </c>
      <c r="D34" s="15" t="s">
        <v>180</v>
      </c>
      <c r="E34" s="15" t="s">
        <v>116</v>
      </c>
      <c r="F34" s="15" t="s">
        <v>175</v>
      </c>
      <c r="G34" s="15"/>
      <c r="H34" s="20" t="n">
        <v>5</v>
      </c>
      <c r="I34" s="20" t="n">
        <v>8</v>
      </c>
      <c r="J34" s="20" t="n">
        <v>15</v>
      </c>
      <c r="K34" s="7" t="n">
        <f aca="false">(H34+4*I34+J34)/6</f>
        <v>8.66666666666667</v>
      </c>
      <c r="L34" s="7" t="n">
        <f aca="false">(J34-H34)/6</f>
        <v>1.66666666666667</v>
      </c>
      <c r="M34" s="7" t="n">
        <f aca="false">MAX(N33)</f>
        <v>163</v>
      </c>
      <c r="N34" s="7" t="n">
        <f aca="false">M34+K34</f>
        <v>171.666666666667</v>
      </c>
      <c r="O34" s="7" t="n">
        <f aca="false">P34-K34</f>
        <v>163</v>
      </c>
      <c r="P34" s="7" t="n">
        <f aca="false">MIN(O35)</f>
        <v>171.666666666667</v>
      </c>
      <c r="Q34" s="7" t="n">
        <f aca="false">O34-M34</f>
        <v>0</v>
      </c>
      <c r="R34" s="5" t="str">
        <f aca="false">IF(Q34&lt;0.01,"yes","")</f>
        <v>yes</v>
      </c>
      <c r="S34" s="7" t="n">
        <f aca="false">K34*SUM(V34:AG34)</f>
        <v>1.73333333333333</v>
      </c>
      <c r="T34" s="12" t="n">
        <f aca="false">K34*SUMPRODUCT(V$2:AG$2,V34:AG34)</f>
        <v>312</v>
      </c>
      <c r="U34" s="12" t="n">
        <f aca="false">K34*SUMPRODUCT(V$1:AG$1,V34:AG34)</f>
        <v>554.666666666667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 t="n">
        <v>0.2</v>
      </c>
    </row>
    <row r="35" customFormat="false" ht="15" hidden="false" customHeight="false" outlineLevel="0" collapsed="false">
      <c r="A35" s="15" t="s">
        <v>181</v>
      </c>
      <c r="B35" s="15" t="n">
        <v>3</v>
      </c>
      <c r="C35" s="15" t="s">
        <v>129</v>
      </c>
      <c r="D35" s="15" t="s">
        <v>182</v>
      </c>
      <c r="E35" s="15" t="s">
        <v>105</v>
      </c>
      <c r="F35" s="15" t="s">
        <v>179</v>
      </c>
      <c r="G35" s="15"/>
      <c r="H35" s="20" t="n">
        <v>5</v>
      </c>
      <c r="I35" s="20" t="n">
        <v>8</v>
      </c>
      <c r="J35" s="20" t="n">
        <v>12</v>
      </c>
      <c r="K35" s="7" t="n">
        <f aca="false">(H35+4*I35+J35)/6</f>
        <v>8.16666666666667</v>
      </c>
      <c r="L35" s="7" t="n">
        <f aca="false">(J35-H35)/6</f>
        <v>1.16666666666667</v>
      </c>
      <c r="M35" s="7" t="n">
        <f aca="false">MAX(N34)</f>
        <v>171.666666666667</v>
      </c>
      <c r="N35" s="7" t="n">
        <f aca="false">M35+K35</f>
        <v>179.833333333333</v>
      </c>
      <c r="O35" s="7" t="n">
        <f aca="false">P35-K35</f>
        <v>171.666666666667</v>
      </c>
      <c r="P35" s="7" t="n">
        <f aca="false">MIN(O36)</f>
        <v>179.833333333333</v>
      </c>
      <c r="Q35" s="7" t="n">
        <f aca="false">O35-M35</f>
        <v>0</v>
      </c>
      <c r="R35" s="5" t="str">
        <f aca="false">IF(Q35&lt;0.01,"yes","")</f>
        <v>yes</v>
      </c>
      <c r="S35" s="7" t="n">
        <f aca="false">K35*SUM(V35:AG35)</f>
        <v>22.8666666666667</v>
      </c>
      <c r="T35" s="12" t="n">
        <f aca="false">K35*SUMPRODUCT(V$2:AG$2,V35:AG35)</f>
        <v>5586</v>
      </c>
      <c r="U35" s="12" t="n">
        <f aca="false">K35*SUMPRODUCT(V$1:AG$1,V35:AG35)</f>
        <v>10045</v>
      </c>
      <c r="V35" s="20"/>
      <c r="W35" s="20"/>
      <c r="X35" s="20" t="n">
        <v>1</v>
      </c>
      <c r="Y35" s="20" t="n">
        <v>0.5</v>
      </c>
      <c r="Z35" s="20"/>
      <c r="AA35" s="20"/>
      <c r="AB35" s="20" t="n">
        <v>0.3</v>
      </c>
      <c r="AC35" s="20"/>
      <c r="AD35" s="20"/>
      <c r="AE35" s="20"/>
      <c r="AF35" s="20" t="n">
        <v>1</v>
      </c>
      <c r="AG35" s="20"/>
    </row>
    <row r="36" customFormat="false" ht="15" hidden="false" customHeight="false" outlineLevel="0" collapsed="false">
      <c r="A36" s="15" t="s">
        <v>183</v>
      </c>
      <c r="B36" s="15" t="n">
        <v>3</v>
      </c>
      <c r="C36" s="15" t="s">
        <v>129</v>
      </c>
      <c r="D36" s="15" t="s">
        <v>184</v>
      </c>
      <c r="E36" s="15" t="s">
        <v>105</v>
      </c>
      <c r="F36" s="15" t="s">
        <v>181</v>
      </c>
      <c r="G36" s="15" t="s">
        <v>185</v>
      </c>
      <c r="H36" s="20" t="n">
        <v>8</v>
      </c>
      <c r="I36" s="20" t="n">
        <v>10</v>
      </c>
      <c r="J36" s="20" t="n">
        <v>15</v>
      </c>
      <c r="K36" s="7" t="n">
        <f aca="false">(H36+4*I36+J36)/6</f>
        <v>10.5</v>
      </c>
      <c r="L36" s="7" t="n">
        <f aca="false">(J36-H36)/6</f>
        <v>1.16666666666667</v>
      </c>
      <c r="M36" s="7" t="n">
        <f aca="false">MAX(N35)</f>
        <v>179.833333333333</v>
      </c>
      <c r="N36" s="7" t="n">
        <f aca="false">M36+K36</f>
        <v>190.333333333333</v>
      </c>
      <c r="O36" s="7" t="n">
        <f aca="false">P36-K36</f>
        <v>179.833333333333</v>
      </c>
      <c r="P36" s="7" t="n">
        <f aca="false">MIN(O37)</f>
        <v>190.333333333333</v>
      </c>
      <c r="Q36" s="7" t="n">
        <f aca="false">O36-M36</f>
        <v>0</v>
      </c>
      <c r="R36" s="5" t="str">
        <f aca="false">IF(Q36&lt;0.01,"yes","")</f>
        <v>yes</v>
      </c>
      <c r="S36" s="7" t="n">
        <f aca="false">K36*SUM(V36:AG36)</f>
        <v>18.9</v>
      </c>
      <c r="T36" s="12" t="n">
        <f aca="false">K36*SUMPRODUCT(V$2:AG$2,V36:AG36)</f>
        <v>5355</v>
      </c>
      <c r="U36" s="12" t="n">
        <f aca="false">K36*SUMPRODUCT(V$1:AG$1,V36:AG36)</f>
        <v>9681</v>
      </c>
      <c r="V36" s="20" t="n">
        <v>0.3</v>
      </c>
      <c r="W36" s="20"/>
      <c r="X36" s="20" t="n">
        <v>0.5</v>
      </c>
      <c r="Y36" s="20" t="n">
        <v>0.5</v>
      </c>
      <c r="Z36" s="20"/>
      <c r="AA36" s="20"/>
      <c r="AB36" s="20"/>
      <c r="AC36" s="20"/>
      <c r="AD36" s="20"/>
      <c r="AE36" s="20" t="n">
        <v>0.5</v>
      </c>
      <c r="AF36" s="20"/>
      <c r="AG36" s="20"/>
    </row>
    <row r="37" customFormat="false" ht="15" hidden="false" customHeight="false" outlineLevel="0" collapsed="false">
      <c r="A37" s="15" t="s">
        <v>186</v>
      </c>
      <c r="B37" s="15" t="n">
        <v>3</v>
      </c>
      <c r="C37" s="15" t="s">
        <v>187</v>
      </c>
      <c r="D37" s="15" t="s">
        <v>188</v>
      </c>
      <c r="E37" s="15" t="s">
        <v>105</v>
      </c>
      <c r="F37" s="15" t="s">
        <v>183</v>
      </c>
      <c r="G37" s="15"/>
      <c r="H37" s="20" t="n">
        <v>4</v>
      </c>
      <c r="I37" s="20" t="n">
        <v>5</v>
      </c>
      <c r="J37" s="20" t="n">
        <v>8</v>
      </c>
      <c r="K37" s="7" t="n">
        <f aca="false">(H37+4*I37+J37)/6</f>
        <v>5.33333333333333</v>
      </c>
      <c r="L37" s="7" t="n">
        <f aca="false">(J37-H37)/6</f>
        <v>0.666666666666667</v>
      </c>
      <c r="M37" s="7" t="n">
        <f aca="false">MAX(N36)</f>
        <v>190.333333333333</v>
      </c>
      <c r="N37" s="7" t="n">
        <f aca="false">M37+K37</f>
        <v>195.666666666667</v>
      </c>
      <c r="O37" s="7" t="n">
        <f aca="false">P37-K37</f>
        <v>190.333333333333</v>
      </c>
      <c r="P37" s="7" t="n">
        <f aca="false">MAX($N$4:$N$37)</f>
        <v>195.666666666667</v>
      </c>
      <c r="Q37" s="7" t="n">
        <f aca="false">O37-M37</f>
        <v>0</v>
      </c>
      <c r="R37" s="5" t="str">
        <f aca="false">IF(Q37&lt;0.01,"yes","")</f>
        <v>yes</v>
      </c>
      <c r="S37" s="7" t="n">
        <f aca="false">K37*SUM(V37:AG37)</f>
        <v>9.6</v>
      </c>
      <c r="T37" s="12" t="n">
        <f aca="false">K37*SUMPRODUCT(V$2:AG$2,V37:AG37)</f>
        <v>2709.33333333333</v>
      </c>
      <c r="U37" s="12" t="n">
        <f aca="false">K37*SUMPRODUCT(V$1:AG$1,V37:AG37)</f>
        <v>4885.33333333333</v>
      </c>
      <c r="V37" s="20" t="n">
        <v>0.5</v>
      </c>
      <c r="W37" s="20" t="n">
        <v>0.5</v>
      </c>
      <c r="X37" s="20"/>
      <c r="Y37" s="20"/>
      <c r="Z37" s="20" t="n">
        <v>0.3</v>
      </c>
      <c r="AA37" s="20"/>
      <c r="AB37" s="20"/>
      <c r="AC37" s="20"/>
      <c r="AD37" s="20"/>
      <c r="AE37" s="20" t="n">
        <v>0.5</v>
      </c>
      <c r="AF37" s="20"/>
      <c r="AG37" s="20"/>
    </row>
    <row r="38" customFormat="false" ht="15" hidden="false" customHeight="false" outlineLevel="0" collapsed="false">
      <c r="D38" s="3" t="s">
        <v>189</v>
      </c>
      <c r="N38" s="21" t="n">
        <f aca="false">MAX(N4:N37)</f>
        <v>195.666666666667</v>
      </c>
      <c r="S38" s="21" t="n">
        <f aca="false">SUM(S4:S37)</f>
        <v>592.166666666667</v>
      </c>
      <c r="T38" s="14" t="n">
        <f aca="false">SUM(T4:T37)</f>
        <v>163624.333333333</v>
      </c>
      <c r="U38" s="14" t="n">
        <f aca="false">SUM(U4:U37)</f>
        <v>294618.833333333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V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5" min="3" style="0" width="6"/>
    <col collapsed="false" customWidth="true" hidden="false" outlineLevel="0" max="55" min="6" style="0" width="3.2"/>
    <col collapsed="false" customWidth="true" hidden="true" outlineLevel="0" max="100" min="100" style="0" width="13"/>
  </cols>
  <sheetData>
    <row r="1" customFormat="false" ht="15" hidden="false" customHeight="false" outlineLevel="0" collapsed="false">
      <c r="A1" s="3" t="s">
        <v>190</v>
      </c>
    </row>
    <row r="3" customFormat="false" ht="15" hidden="false" customHeight="false" outlineLevel="0" collapsed="false">
      <c r="A3" s="4" t="s">
        <v>82</v>
      </c>
      <c r="B3" s="4" t="s">
        <v>85</v>
      </c>
      <c r="C3" s="4" t="s">
        <v>94</v>
      </c>
      <c r="D3" s="4" t="s">
        <v>95</v>
      </c>
      <c r="E3" s="4" t="s">
        <v>191</v>
      </c>
      <c r="F3" s="22" t="n">
        <v>1</v>
      </c>
      <c r="G3" s="22" t="n">
        <v>2</v>
      </c>
      <c r="H3" s="22" t="n">
        <v>3</v>
      </c>
      <c r="I3" s="22" t="n">
        <v>4</v>
      </c>
      <c r="J3" s="22" t="n">
        <v>5</v>
      </c>
      <c r="K3" s="22" t="n">
        <v>6</v>
      </c>
      <c r="L3" s="22" t="n">
        <v>7</v>
      </c>
      <c r="M3" s="22" t="n">
        <v>8</v>
      </c>
      <c r="N3" s="22" t="n">
        <v>9</v>
      </c>
      <c r="O3" s="22" t="n">
        <v>10</v>
      </c>
      <c r="P3" s="22" t="n">
        <v>11</v>
      </c>
      <c r="Q3" s="22" t="n">
        <v>12</v>
      </c>
      <c r="R3" s="22" t="n">
        <v>13</v>
      </c>
      <c r="S3" s="22" t="n">
        <v>14</v>
      </c>
      <c r="T3" s="22" t="n">
        <v>15</v>
      </c>
      <c r="U3" s="22" t="n">
        <v>16</v>
      </c>
      <c r="V3" s="22" t="n">
        <v>17</v>
      </c>
      <c r="W3" s="22" t="n">
        <v>18</v>
      </c>
      <c r="X3" s="22" t="n">
        <v>19</v>
      </c>
      <c r="Y3" s="22" t="n">
        <v>20</v>
      </c>
      <c r="Z3" s="22" t="n">
        <v>21</v>
      </c>
      <c r="AA3" s="22" t="n">
        <v>22</v>
      </c>
      <c r="AB3" s="22" t="n">
        <v>23</v>
      </c>
      <c r="AC3" s="22" t="n">
        <v>24</v>
      </c>
      <c r="AD3" s="22" t="n">
        <v>25</v>
      </c>
      <c r="AE3" s="22" t="n">
        <v>26</v>
      </c>
      <c r="AF3" s="22" t="n">
        <v>27</v>
      </c>
      <c r="AG3" s="22" t="n">
        <v>28</v>
      </c>
      <c r="AH3" s="22" t="n">
        <v>29</v>
      </c>
      <c r="AI3" s="22" t="n">
        <v>30</v>
      </c>
      <c r="AJ3" s="22" t="n">
        <v>31</v>
      </c>
      <c r="AK3" s="22" t="n">
        <v>32</v>
      </c>
      <c r="AL3" s="22" t="n">
        <v>33</v>
      </c>
      <c r="AM3" s="22" t="n">
        <v>34</v>
      </c>
      <c r="AN3" s="22" t="n">
        <v>35</v>
      </c>
      <c r="AO3" s="22" t="n">
        <v>36</v>
      </c>
      <c r="AP3" s="22" t="n">
        <v>37</v>
      </c>
      <c r="AQ3" s="22" t="n">
        <v>38</v>
      </c>
      <c r="AR3" s="22" t="n">
        <v>39</v>
      </c>
      <c r="AS3" s="22" t="n">
        <v>40</v>
      </c>
      <c r="AT3" s="22" t="n">
        <v>41</v>
      </c>
      <c r="AU3" s="22" t="n">
        <v>42</v>
      </c>
      <c r="AV3" s="22" t="n">
        <v>43</v>
      </c>
      <c r="AW3" s="22" t="n">
        <v>44</v>
      </c>
      <c r="AX3" s="22" t="n">
        <v>45</v>
      </c>
      <c r="AY3" s="22" t="n">
        <v>46</v>
      </c>
      <c r="AZ3" s="22" t="n">
        <v>47</v>
      </c>
      <c r="BA3" s="22" t="n">
        <v>48</v>
      </c>
      <c r="BB3" s="22" t="n">
        <v>49</v>
      </c>
      <c r="BC3" s="22" t="n">
        <v>50</v>
      </c>
    </row>
    <row r="4" customFormat="false" ht="15" hidden="false" customHeight="false" outlineLevel="0" collapsed="false">
      <c r="A4" s="23" t="str">
        <f aca="false">WBS!A4</f>
        <v>1.1</v>
      </c>
      <c r="B4" s="23" t="str">
        <f aca="false">WBS!D4</f>
        <v>Discovery: site, parts, IT policy</v>
      </c>
      <c r="C4" s="24" t="n">
        <f aca="false">WBS!M4</f>
        <v>0</v>
      </c>
      <c r="D4" s="24" t="n">
        <f aca="false">WBS!N4</f>
        <v>8.66666666666667</v>
      </c>
      <c r="E4" s="23" t="str">
        <f aca="false">WBS!R4</f>
        <v>yes</v>
      </c>
      <c r="CV4" s="5" t="n">
        <f aca="false">WBS!B4</f>
        <v>1</v>
      </c>
    </row>
    <row r="5" customFormat="false" ht="15" hidden="false" customHeight="false" outlineLevel="0" collapsed="false">
      <c r="A5" s="23" t="str">
        <f aca="false">WBS!A5</f>
        <v>1.2</v>
      </c>
      <c r="B5" s="23" t="str">
        <f aca="false">WBS!D5</f>
        <v>System requirements + acceptance</v>
      </c>
      <c r="C5" s="24" t="n">
        <f aca="false">WBS!M5</f>
        <v>8.66666666666667</v>
      </c>
      <c r="D5" s="24" t="n">
        <f aca="false">WBS!N5</f>
        <v>16.8333333333333</v>
      </c>
      <c r="E5" s="23" t="str">
        <f aca="false">WBS!R5</f>
        <v>yes</v>
      </c>
      <c r="CV5" s="5" t="n">
        <f aca="false">WBS!B5</f>
        <v>1</v>
      </c>
    </row>
    <row r="6" customFormat="false" ht="15" hidden="false" customHeight="false" outlineLevel="0" collapsed="false">
      <c r="A6" s="23" t="str">
        <f aca="false">WBS!A6</f>
        <v>1.3</v>
      </c>
      <c r="B6" s="23" t="str">
        <f aca="false">WBS!D6</f>
        <v>Architecture (ROS graph, compute)</v>
      </c>
      <c r="C6" s="24" t="n">
        <f aca="false">WBS!M6</f>
        <v>16.8333333333333</v>
      </c>
      <c r="D6" s="24" t="n">
        <f aca="false">WBS!N6</f>
        <v>25</v>
      </c>
      <c r="E6" s="23" t="str">
        <f aca="false">WBS!R6</f>
        <v>yes</v>
      </c>
      <c r="CV6" s="5" t="n">
        <f aca="false">WBS!B6</f>
        <v>1</v>
      </c>
    </row>
    <row r="7" customFormat="false" ht="15" hidden="false" customHeight="false" outlineLevel="0" collapsed="false">
      <c r="A7" s="23" t="str">
        <f aca="false">WBS!A7</f>
        <v>1.4</v>
      </c>
      <c r="B7" s="23" t="str">
        <f aca="false">WBS!D7</f>
        <v>HARA + project risk register</v>
      </c>
      <c r="C7" s="24" t="n">
        <f aca="false">WBS!M7</f>
        <v>25</v>
      </c>
      <c r="D7" s="24" t="n">
        <f aca="false">WBS!N7</f>
        <v>28.1666666666667</v>
      </c>
      <c r="E7" s="23" t="str">
        <f aca="false">WBS!R7</f>
        <v>yes</v>
      </c>
      <c r="CV7" s="5" t="n">
        <f aca="false">WBS!B7</f>
        <v>1</v>
      </c>
    </row>
    <row r="8" customFormat="false" ht="15" hidden="false" customHeight="false" outlineLevel="0" collapsed="false">
      <c r="A8" s="23" t="str">
        <f aca="false">WBS!A8</f>
        <v>1.5</v>
      </c>
      <c r="B8" s="23" t="str">
        <f aca="false">WBS!D8</f>
        <v>PoC kit: Jetson, cameras, parts</v>
      </c>
      <c r="C8" s="24" t="n">
        <f aca="false">WBS!M8</f>
        <v>8.66666666666667</v>
      </c>
      <c r="D8" s="24" t="n">
        <f aca="false">WBS!N8</f>
        <v>19.5</v>
      </c>
      <c r="E8" s="23" t="str">
        <f aca="false">WBS!R8</f>
        <v/>
      </c>
      <c r="CV8" s="5" t="n">
        <f aca="false">WBS!B8</f>
        <v>1</v>
      </c>
    </row>
    <row r="9" customFormat="false" ht="15" hidden="false" customHeight="false" outlineLevel="0" collapsed="false">
      <c r="A9" s="23" t="str">
        <f aca="false">WBS!A9</f>
        <v>1.6</v>
      </c>
      <c r="B9" s="23" t="str">
        <f aca="false">WBS!D9</f>
        <v>PoC-A: inference on Jetson</v>
      </c>
      <c r="C9" s="24" t="n">
        <f aca="false">WBS!M9</f>
        <v>28.1666666666667</v>
      </c>
      <c r="D9" s="24" t="n">
        <f aca="false">WBS!N9</f>
        <v>44</v>
      </c>
      <c r="E9" s="23" t="str">
        <f aca="false">WBS!R9</f>
        <v>yes</v>
      </c>
      <c r="CV9" s="5" t="n">
        <f aca="false">WBS!B9</f>
        <v>1</v>
      </c>
    </row>
    <row r="10" customFormat="false" ht="15" hidden="false" customHeight="false" outlineLevel="0" collapsed="false">
      <c r="A10" s="23" t="str">
        <f aca="false">WBS!A10</f>
        <v>1.7</v>
      </c>
      <c r="B10" s="23" t="str">
        <f aca="false">WBS!D10</f>
        <v>PoC-B: grasp with ROS 2 + MoveIt 2</v>
      </c>
      <c r="C10" s="24" t="n">
        <f aca="false">WBS!M10</f>
        <v>28.1666666666667</v>
      </c>
      <c r="D10" s="24" t="n">
        <f aca="false">WBS!N10</f>
        <v>40.8333333333333</v>
      </c>
      <c r="E10" s="23" t="str">
        <f aca="false">WBS!R10</f>
        <v/>
      </c>
      <c r="CV10" s="5" t="n">
        <f aca="false">WBS!B10</f>
        <v>1</v>
      </c>
    </row>
    <row r="11" customFormat="false" ht="15" hidden="false" customHeight="false" outlineLevel="0" collapsed="false">
      <c r="A11" s="23" t="str">
        <f aca="false">WBS!A11</f>
        <v>1.8</v>
      </c>
      <c r="B11" s="23" t="str">
        <f aca="false">WBS!D11</f>
        <v>PoC review</v>
      </c>
      <c r="C11" s="24" t="n">
        <f aca="false">WBS!M11</f>
        <v>44</v>
      </c>
      <c r="D11" s="24" t="n">
        <f aca="false">WBS!N11</f>
        <v>46</v>
      </c>
      <c r="E11" s="23" t="str">
        <f aca="false">WBS!R11</f>
        <v>yes</v>
      </c>
      <c r="CV11" s="5" t="n">
        <f aca="false">WBS!B11</f>
        <v>1</v>
      </c>
    </row>
    <row r="12" customFormat="false" ht="15" hidden="false" customHeight="false" outlineLevel="0" collapsed="false">
      <c r="A12" s="23" t="str">
        <f aca="false">WBS!A12</f>
        <v>1.9</v>
      </c>
      <c r="B12" s="23" t="str">
        <f aca="false">WBS!D12</f>
        <v>MVP: one part type, bench + sim</v>
      </c>
      <c r="C12" s="24" t="n">
        <f aca="false">WBS!M12</f>
        <v>46</v>
      </c>
      <c r="D12" s="24" t="n">
        <f aca="false">WBS!N12</f>
        <v>61.3333333333333</v>
      </c>
      <c r="E12" s="23" t="str">
        <f aca="false">WBS!R12</f>
        <v/>
      </c>
      <c r="CV12" s="5" t="n">
        <f aca="false">WBS!B12</f>
        <v>1</v>
      </c>
    </row>
    <row r="13" customFormat="false" ht="15" hidden="false" customHeight="false" outlineLevel="0" collapsed="false">
      <c r="A13" s="23" t="str">
        <f aca="false">WBS!A13</f>
        <v>2.1</v>
      </c>
      <c r="B13" s="23" t="str">
        <f aca="false">WBS!D13</f>
        <v>Detailed SW/HW/Mech requirements</v>
      </c>
      <c r="C13" s="24" t="n">
        <f aca="false">WBS!M13</f>
        <v>46</v>
      </c>
      <c r="D13" s="24" t="n">
        <f aca="false">WBS!N13</f>
        <v>52.3333333333333</v>
      </c>
      <c r="E13" s="23" t="str">
        <f aca="false">WBS!R13</f>
        <v>yes</v>
      </c>
      <c r="CV13" s="5" t="n">
        <f aca="false">WBS!B13</f>
        <v>2</v>
      </c>
    </row>
    <row r="14" customFormat="false" ht="15" hidden="false" customHeight="false" outlineLevel="0" collapsed="false">
      <c r="A14" s="23" t="str">
        <f aca="false">WBS!A14</f>
        <v>2.2</v>
      </c>
      <c r="B14" s="23" t="str">
        <f aca="false">WBS!D14</f>
        <v>HW load + component search</v>
      </c>
      <c r="C14" s="24" t="n">
        <f aca="false">WBS!M14</f>
        <v>52.3333333333333</v>
      </c>
      <c r="D14" s="24" t="n">
        <f aca="false">WBS!N14</f>
        <v>57.8333333333333</v>
      </c>
      <c r="E14" s="23" t="str">
        <f aca="false">WBS!R14</f>
        <v>yes</v>
      </c>
      <c r="CV14" s="5" t="n">
        <f aca="false">WBS!B14</f>
        <v>2</v>
      </c>
    </row>
    <row r="15" customFormat="false" ht="15" hidden="false" customHeight="false" outlineLevel="0" collapsed="false">
      <c r="A15" s="23" t="str">
        <f aca="false">WBS!A15</f>
        <v>2.3</v>
      </c>
      <c r="B15" s="23" t="str">
        <f aca="false">WBS!D15</f>
        <v>Long-lead: cobot, Jetson, scanner</v>
      </c>
      <c r="C15" s="24" t="n">
        <f aca="false">WBS!M15</f>
        <v>57.8333333333333</v>
      </c>
      <c r="D15" s="24" t="n">
        <f aca="false">WBS!N15</f>
        <v>89.5</v>
      </c>
      <c r="E15" s="23" t="str">
        <f aca="false">WBS!R15</f>
        <v/>
      </c>
      <c r="CV15" s="5" t="n">
        <f aca="false">WBS!B15</f>
        <v>2</v>
      </c>
    </row>
    <row r="16" customFormat="false" ht="15" hidden="false" customHeight="false" outlineLevel="0" collapsed="false">
      <c r="A16" s="23" t="str">
        <f aca="false">WBS!A16</f>
        <v>2.4</v>
      </c>
      <c r="B16" s="23" t="str">
        <f aca="false">WBS!D16</f>
        <v>Tool PCB: schematic, PCB, BoM</v>
      </c>
      <c r="C16" s="24" t="n">
        <f aca="false">WBS!M16</f>
        <v>57.8333333333333</v>
      </c>
      <c r="D16" s="24" t="n">
        <f aca="false">WBS!N16</f>
        <v>73.1666666666667</v>
      </c>
      <c r="E16" s="23" t="str">
        <f aca="false">WBS!R16</f>
        <v>yes</v>
      </c>
      <c r="CV16" s="5" t="n">
        <f aca="false">WBS!B16</f>
        <v>2</v>
      </c>
    </row>
    <row r="17" customFormat="false" ht="15" hidden="false" customHeight="false" outlineLevel="0" collapsed="false">
      <c r="A17" s="23" t="str">
        <f aca="false">WBS!A17</f>
        <v>2.5</v>
      </c>
      <c r="B17" s="23" t="str">
        <f aca="false">WBS!D17</f>
        <v>HW review (peer + FW)</v>
      </c>
      <c r="C17" s="24" t="n">
        <f aca="false">WBS!M17</f>
        <v>73.1666666666667</v>
      </c>
      <c r="D17" s="24" t="n">
        <f aca="false">WBS!N17</f>
        <v>76.3333333333333</v>
      </c>
      <c r="E17" s="23" t="str">
        <f aca="false">WBS!R17</f>
        <v/>
      </c>
      <c r="CV17" s="5" t="n">
        <f aca="false">WBS!B17</f>
        <v>2</v>
      </c>
    </row>
    <row r="18" customFormat="false" ht="15" hidden="false" customHeight="false" outlineLevel="0" collapsed="false">
      <c r="A18" s="23" t="str">
        <f aca="false">WBS!A18</f>
        <v>2.6</v>
      </c>
      <c r="B18" s="23" t="str">
        <f aca="false">WBS!D18</f>
        <v>Mech design: tool, frame, guarding</v>
      </c>
      <c r="C18" s="24" t="n">
        <f aca="false">WBS!M18</f>
        <v>73.1666666666667</v>
      </c>
      <c r="D18" s="24" t="n">
        <f aca="false">WBS!N18</f>
        <v>89</v>
      </c>
      <c r="E18" s="23" t="str">
        <f aca="false">WBS!R18</f>
        <v>yes</v>
      </c>
      <c r="CV18" s="5" t="n">
        <f aca="false">WBS!B18</f>
        <v>2</v>
      </c>
    </row>
    <row r="19" customFormat="false" ht="15" hidden="false" customHeight="false" outlineLevel="0" collapsed="false">
      <c r="A19" s="23" t="str">
        <f aca="false">WBS!A19</f>
        <v>2.7</v>
      </c>
      <c r="B19" s="23" t="str">
        <f aca="false">WBS!D19</f>
        <v>Mech review + rework + all hands</v>
      </c>
      <c r="C19" s="24" t="n">
        <f aca="false">WBS!M19</f>
        <v>89</v>
      </c>
      <c r="D19" s="24" t="n">
        <f aca="false">WBS!N19</f>
        <v>94.5</v>
      </c>
      <c r="E19" s="23" t="str">
        <f aca="false">WBS!R19</f>
        <v>yes</v>
      </c>
      <c r="CV19" s="5" t="n">
        <f aca="false">WBS!B19</f>
        <v>2</v>
      </c>
    </row>
    <row r="20" customFormat="false" ht="15" hidden="false" customHeight="false" outlineLevel="0" collapsed="false">
      <c r="A20" s="23" t="str">
        <f aca="false">WBS!A20</f>
        <v>2.8</v>
      </c>
      <c r="B20" s="23" t="str">
        <f aca="false">WBS!D20</f>
        <v>PCB manufacturing (vendor)</v>
      </c>
      <c r="C20" s="24" t="n">
        <f aca="false">WBS!M20</f>
        <v>94.5</v>
      </c>
      <c r="D20" s="24" t="n">
        <f aca="false">WBS!N20</f>
        <v>115.333333333333</v>
      </c>
      <c r="E20" s="23" t="str">
        <f aca="false">WBS!R20</f>
        <v>yes</v>
      </c>
      <c r="CV20" s="5" t="n">
        <f aca="false">WBS!B20</f>
        <v>2</v>
      </c>
    </row>
    <row r="21" customFormat="false" ht="15" hidden="false" customHeight="false" outlineLevel="0" collapsed="false">
      <c r="A21" s="23" t="str">
        <f aca="false">WBS!A21</f>
        <v>2.9</v>
      </c>
      <c r="B21" s="23" t="str">
        <f aca="false">WBS!D21</f>
        <v>Mech manufacturing (vendor)</v>
      </c>
      <c r="C21" s="24" t="n">
        <f aca="false">WBS!M21</f>
        <v>94.5</v>
      </c>
      <c r="D21" s="24" t="n">
        <f aca="false">WBS!N21</f>
        <v>113.166666666667</v>
      </c>
      <c r="E21" s="23" t="str">
        <f aca="false">WBS!R21</f>
        <v/>
      </c>
      <c r="CV21" s="5" t="n">
        <f aca="false">WBS!B21</f>
        <v>2</v>
      </c>
    </row>
    <row r="22" customFormat="false" ht="15" hidden="false" customHeight="false" outlineLevel="0" collapsed="false">
      <c r="A22" s="23" t="str">
        <f aca="false">WBS!A22</f>
        <v>2.10</v>
      </c>
      <c r="B22" s="23" t="str">
        <f aca="false">WBS!D22</f>
        <v>Standard parts + harness materials</v>
      </c>
      <c r="C22" s="24" t="n">
        <f aca="false">WBS!M22</f>
        <v>94.5</v>
      </c>
      <c r="D22" s="24" t="n">
        <f aca="false">WBS!N22</f>
        <v>110.333333333333</v>
      </c>
      <c r="E22" s="23" t="str">
        <f aca="false">WBS!R22</f>
        <v/>
      </c>
      <c r="CV22" s="5" t="n">
        <f aca="false">WBS!B22</f>
        <v>2</v>
      </c>
    </row>
    <row r="23" customFormat="false" ht="15" hidden="false" customHeight="false" outlineLevel="0" collapsed="false">
      <c r="A23" s="23" t="str">
        <f aca="false">WBS!A23</f>
        <v>2.11</v>
      </c>
      <c r="B23" s="23" t="str">
        <f aca="false">WBS!D23</f>
        <v>Tool FW on dev board</v>
      </c>
      <c r="C23" s="24" t="n">
        <f aca="false">WBS!M23</f>
        <v>76.3333333333333</v>
      </c>
      <c r="D23" s="24" t="n">
        <f aca="false">WBS!N23</f>
        <v>92.1666666666667</v>
      </c>
      <c r="E23" s="23" t="str">
        <f aca="false">WBS!R23</f>
        <v/>
      </c>
      <c r="CV23" s="5" t="n">
        <f aca="false">WBS!B23</f>
        <v>2</v>
      </c>
    </row>
    <row r="24" customFormat="false" ht="15" hidden="false" customHeight="false" outlineLevel="0" collapsed="false">
      <c r="A24" s="23" t="str">
        <f aca="false">WBS!A24</f>
        <v>2.12</v>
      </c>
      <c r="B24" s="23" t="str">
        <f aca="false">WBS!D24</f>
        <v>Cabinet + harness build</v>
      </c>
      <c r="C24" s="24" t="n">
        <f aca="false">WBS!M24</f>
        <v>110.333333333333</v>
      </c>
      <c r="D24" s="24" t="n">
        <f aca="false">WBS!N24</f>
        <v>123</v>
      </c>
      <c r="E24" s="23" t="str">
        <f aca="false">WBS!R24</f>
        <v/>
      </c>
      <c r="CV24" s="5" t="n">
        <f aca="false">WBS!B24</f>
        <v>2</v>
      </c>
    </row>
    <row r="25" customFormat="false" ht="15" hidden="false" customHeight="false" outlineLevel="0" collapsed="false">
      <c r="A25" s="23" t="str">
        <f aca="false">WBS!A25</f>
        <v>2.13</v>
      </c>
      <c r="B25" s="23" t="str">
        <f aca="false">WBS!D25</f>
        <v>Assembly + review + rework</v>
      </c>
      <c r="C25" s="24" t="n">
        <f aca="false">WBS!M25</f>
        <v>115.333333333333</v>
      </c>
      <c r="D25" s="24" t="n">
        <f aca="false">WBS!N25</f>
        <v>124</v>
      </c>
      <c r="E25" s="23" t="str">
        <f aca="false">WBS!R25</f>
        <v>yes</v>
      </c>
      <c r="CV25" s="5" t="n">
        <f aca="false">WBS!B25</f>
        <v>2</v>
      </c>
    </row>
    <row r="26" customFormat="false" ht="15" hidden="false" customHeight="false" outlineLevel="0" collapsed="false">
      <c r="A26" s="23" t="str">
        <f aca="false">WBS!A26</f>
        <v>2.14</v>
      </c>
      <c r="B26" s="23" t="str">
        <f aca="false">WBS!D26</f>
        <v>FW on real HW + bench test</v>
      </c>
      <c r="C26" s="24" t="n">
        <f aca="false">WBS!M26</f>
        <v>124</v>
      </c>
      <c r="D26" s="24" t="n">
        <f aca="false">WBS!N26</f>
        <v>130.333333333333</v>
      </c>
      <c r="E26" s="23" t="str">
        <f aca="false">WBS!R26</f>
        <v>yes</v>
      </c>
      <c r="CV26" s="5" t="n">
        <f aca="false">WBS!B26</f>
        <v>2</v>
      </c>
    </row>
    <row r="27" customFormat="false" ht="15" hidden="false" customHeight="false" outlineLevel="0" collapsed="false">
      <c r="A27" s="23" t="str">
        <f aca="false">WBS!A27</f>
        <v>2.15</v>
      </c>
      <c r="B27" s="23" t="str">
        <f aca="false">WBS!D27</f>
        <v>Cell SW: orchestration, HMI, logs</v>
      </c>
      <c r="C27" s="24" t="n">
        <f aca="false">WBS!M27</f>
        <v>61.3333333333333</v>
      </c>
      <c r="D27" s="24" t="n">
        <f aca="false">WBS!N27</f>
        <v>92.1666666666667</v>
      </c>
      <c r="E27" s="23" t="str">
        <f aca="false">WBS!R27</f>
        <v/>
      </c>
      <c r="CV27" s="5" t="n">
        <f aca="false">WBS!B27</f>
        <v>2</v>
      </c>
    </row>
    <row r="28" customFormat="false" ht="15" hidden="false" customHeight="false" outlineLevel="0" collapsed="false">
      <c r="A28" s="23" t="str">
        <f aca="false">WBS!A28</f>
        <v>2.16</v>
      </c>
      <c r="B28" s="23" t="str">
        <f aca="false">WBS!D28</f>
        <v>Dataset v1 + 3 training iterations</v>
      </c>
      <c r="C28" s="24" t="n">
        <f aca="false">WBS!M28</f>
        <v>61.3333333333333</v>
      </c>
      <c r="D28" s="24" t="n">
        <f aca="false">WBS!N28</f>
        <v>92.1666666666667</v>
      </c>
      <c r="E28" s="23" t="str">
        <f aca="false">WBS!R28</f>
        <v/>
      </c>
      <c r="CV28" s="5" t="n">
        <f aca="false">WBS!B28</f>
        <v>2</v>
      </c>
    </row>
    <row r="29" customFormat="false" ht="15" hidden="false" customHeight="false" outlineLevel="0" collapsed="false">
      <c r="A29" s="23" t="str">
        <f aca="false">WBS!A29</f>
        <v>2.17</v>
      </c>
      <c r="B29" s="23" t="str">
        <f aca="false">WBS!D29</f>
        <v>On-prem GPU server, registry, OTA</v>
      </c>
      <c r="C29" s="24" t="n">
        <f aca="false">WBS!M29</f>
        <v>52.3333333333333</v>
      </c>
      <c r="D29" s="24" t="n">
        <f aca="false">WBS!N29</f>
        <v>65</v>
      </c>
      <c r="E29" s="23" t="str">
        <f aca="false">WBS!R29</f>
        <v/>
      </c>
      <c r="CV29" s="5" t="n">
        <f aca="false">WBS!B29</f>
        <v>2</v>
      </c>
    </row>
    <row r="30" customFormat="false" ht="15" hidden="false" customHeight="false" outlineLevel="0" collapsed="false">
      <c r="A30" s="23" t="str">
        <f aca="false">WBS!A30</f>
        <v>3.1</v>
      </c>
      <c r="B30" s="23" t="str">
        <f aca="false">WBS!D30</f>
        <v>Cell integration at our site</v>
      </c>
      <c r="C30" s="24" t="n">
        <f aca="false">WBS!M30</f>
        <v>130.333333333333</v>
      </c>
      <c r="D30" s="24" t="n">
        <f aca="false">WBS!N30</f>
        <v>146.166666666667</v>
      </c>
      <c r="E30" s="23" t="str">
        <f aca="false">WBS!R30</f>
        <v>yes</v>
      </c>
      <c r="CV30" s="5" t="n">
        <f aca="false">WBS!B30</f>
        <v>3</v>
      </c>
    </row>
    <row r="31" customFormat="false" ht="15" hidden="false" customHeight="false" outlineLevel="0" collapsed="false">
      <c r="A31" s="23" t="str">
        <f aca="false">WBS!A31</f>
        <v>3.2</v>
      </c>
      <c r="B31" s="23" t="str">
        <f aca="false">WBS!D31</f>
        <v>Safety validation</v>
      </c>
      <c r="C31" s="24" t="n">
        <f aca="false">WBS!M31</f>
        <v>146.166666666667</v>
      </c>
      <c r="D31" s="24" t="n">
        <f aca="false">WBS!N31</f>
        <v>154.833333333333</v>
      </c>
      <c r="E31" s="23" t="str">
        <f aca="false">WBS!R31</f>
        <v/>
      </c>
      <c r="CV31" s="5" t="n">
        <f aca="false">WBS!B31</f>
        <v>3</v>
      </c>
    </row>
    <row r="32" customFormat="false" ht="15" hidden="false" customHeight="false" outlineLevel="0" collapsed="false">
      <c r="A32" s="23" t="str">
        <f aca="false">WBS!A32</f>
        <v>3.3</v>
      </c>
      <c r="B32" s="23" t="str">
        <f aca="false">WBS!D32</f>
        <v>Tuning: cycle time, accuracy</v>
      </c>
      <c r="C32" s="24" t="n">
        <f aca="false">WBS!M32</f>
        <v>146.166666666667</v>
      </c>
      <c r="D32" s="24" t="n">
        <f aca="false">WBS!N32</f>
        <v>158.833333333333</v>
      </c>
      <c r="E32" s="23" t="str">
        <f aca="false">WBS!R32</f>
        <v>yes</v>
      </c>
      <c r="CV32" s="5" t="n">
        <f aca="false">WBS!B32</f>
        <v>3</v>
      </c>
    </row>
    <row r="33" customFormat="false" ht="15" hidden="false" customHeight="false" outlineLevel="0" collapsed="false">
      <c r="A33" s="23" t="str">
        <f aca="false">WBS!A33</f>
        <v>3.4</v>
      </c>
      <c r="B33" s="23" t="str">
        <f aca="false">WBS!D33</f>
        <v>FAT with customer</v>
      </c>
      <c r="C33" s="24" t="n">
        <f aca="false">WBS!M33</f>
        <v>158.833333333333</v>
      </c>
      <c r="D33" s="24" t="n">
        <f aca="false">WBS!N33</f>
        <v>163</v>
      </c>
      <c r="E33" s="23" t="str">
        <f aca="false">WBS!R33</f>
        <v>yes</v>
      </c>
      <c r="CV33" s="5" t="n">
        <f aca="false">WBS!B33</f>
        <v>3</v>
      </c>
    </row>
    <row r="34" customFormat="false" ht="15" hidden="false" customHeight="false" outlineLevel="0" collapsed="false">
      <c r="A34" s="23" t="str">
        <f aca="false">WBS!A34</f>
        <v>3.5</v>
      </c>
      <c r="B34" s="23" t="str">
        <f aca="false">WBS!D34</f>
        <v>Shipping + customs</v>
      </c>
      <c r="C34" s="24" t="n">
        <f aca="false">WBS!M34</f>
        <v>163</v>
      </c>
      <c r="D34" s="24" t="n">
        <f aca="false">WBS!N34</f>
        <v>171.666666666667</v>
      </c>
      <c r="E34" s="23" t="str">
        <f aca="false">WBS!R34</f>
        <v>yes</v>
      </c>
      <c r="CV34" s="5" t="n">
        <f aca="false">WBS!B34</f>
        <v>3</v>
      </c>
    </row>
    <row r="35" customFormat="false" ht="15" hidden="false" customHeight="false" outlineLevel="0" collapsed="false">
      <c r="A35" s="23" t="str">
        <f aca="false">WBS!A35</f>
        <v>3.6</v>
      </c>
      <c r="B35" s="23" t="str">
        <f aca="false">WBS!D35</f>
        <v>Installation + commissioning</v>
      </c>
      <c r="C35" s="24" t="n">
        <f aca="false">WBS!M35</f>
        <v>171.666666666667</v>
      </c>
      <c r="D35" s="24" t="n">
        <f aca="false">WBS!N35</f>
        <v>179.833333333333</v>
      </c>
      <c r="E35" s="23" t="str">
        <f aca="false">WBS!R35</f>
        <v>yes</v>
      </c>
      <c r="CV35" s="5" t="n">
        <f aca="false">WBS!B35</f>
        <v>3</v>
      </c>
    </row>
    <row r="36" customFormat="false" ht="15" hidden="false" customHeight="false" outlineLevel="0" collapsed="false">
      <c r="A36" s="23" t="str">
        <f aca="false">WBS!A36</f>
        <v>3.7</v>
      </c>
      <c r="B36" s="23" t="str">
        <f aca="false">WBS!D36</f>
        <v>SAT + 2-week pilot run</v>
      </c>
      <c r="C36" s="24" t="n">
        <f aca="false">WBS!M36</f>
        <v>179.833333333333</v>
      </c>
      <c r="D36" s="24" t="n">
        <f aca="false">WBS!N36</f>
        <v>190.333333333333</v>
      </c>
      <c r="E36" s="23" t="str">
        <f aca="false">WBS!R36</f>
        <v>yes</v>
      </c>
      <c r="CV36" s="5" t="n">
        <f aca="false">WBS!B36</f>
        <v>3</v>
      </c>
    </row>
    <row r="37" customFormat="false" ht="15" hidden="false" customHeight="false" outlineLevel="0" collapsed="false">
      <c r="A37" s="23" t="str">
        <f aca="false">WBS!A37</f>
        <v>3.8</v>
      </c>
      <c r="B37" s="23" t="str">
        <f aca="false">WBS!D37</f>
        <v>Docs, training, handover</v>
      </c>
      <c r="C37" s="24" t="n">
        <f aca="false">WBS!M37</f>
        <v>190.333333333333</v>
      </c>
      <c r="D37" s="24" t="n">
        <f aca="false">WBS!N37</f>
        <v>195.666666666667</v>
      </c>
      <c r="E37" s="23" t="str">
        <f aca="false">WBS!R37</f>
        <v>yes</v>
      </c>
      <c r="CV37" s="5" t="n">
        <f aca="false">WBS!B37</f>
        <v>3</v>
      </c>
    </row>
  </sheetData>
  <conditionalFormatting sqref="F4:BC37">
    <cfRule type="expression" priority="2" aboveAverage="0" equalAverage="0" bottom="0" percent="0" rank="0" text="" dxfId="0">
      <formula>AND(F$3*5&gt;$C4,(F$3-1)*5&lt;$D4,$CV4=1)</formula>
    </cfRule>
    <cfRule type="expression" priority="3" aboveAverage="0" equalAverage="0" bottom="0" percent="0" rank="0" text="" dxfId="1">
      <formula>AND(F$3*5&gt;$C4,(F$3-1)*5&lt;$D4,$CV4=2)</formula>
    </cfRule>
    <cfRule type="expression" priority="4" aboveAverage="0" equalAverage="0" bottom="0" percent="0" rank="0" text="" dxfId="2">
      <formula>AND(F$3*5&gt;$C4,(F$3-1)*5&lt;$D4,$CV4=3)</formula>
    </cfRule>
  </conditionalFormatting>
  <conditionalFormatting sqref="A4:B37">
    <cfRule type="expression" priority="5" aboveAverage="0" equalAverage="0" bottom="0" percent="0" rank="0" text="" dxfId="3">
      <formula>$E4="yes"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5" min="4" style="0" width="10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9" min="9" style="0" width="16"/>
  </cols>
  <sheetData>
    <row r="1" customFormat="false" ht="26.85" hidden="false" customHeight="false" outlineLevel="0" collapsed="false">
      <c r="A1" s="4" t="s">
        <v>45</v>
      </c>
      <c r="B1" s="4" t="s">
        <v>46</v>
      </c>
      <c r="C1" s="4" t="s">
        <v>192</v>
      </c>
      <c r="D1" s="4" t="s">
        <v>193</v>
      </c>
      <c r="E1" s="4" t="s">
        <v>194</v>
      </c>
      <c r="F1" s="4" t="s">
        <v>101</v>
      </c>
      <c r="G1" s="4" t="s">
        <v>102</v>
      </c>
      <c r="H1" s="4" t="s">
        <v>195</v>
      </c>
      <c r="I1" s="4" t="s">
        <v>196</v>
      </c>
    </row>
    <row r="2" customFormat="false" ht="15" hidden="false" customHeight="false" outlineLevel="0" collapsed="false">
      <c r="A2" s="23" t="str">
        <f aca="false">Rates!A2</f>
        <v>PM</v>
      </c>
      <c r="B2" s="23" t="str">
        <f aca="false">Rates!B2</f>
        <v>Delivery / engineering manager</v>
      </c>
      <c r="C2" s="7" t="n">
        <f aca="false">SUMPRODUCT(WBS!$K$4:$K$37,WBS!V$4:V$37)+Rates!$C$15*WBS!$N$38</f>
        <v>114.466666666667</v>
      </c>
      <c r="D2" s="13" t="n">
        <f aca="false">Rates!C2</f>
        <v>300</v>
      </c>
      <c r="E2" s="13" t="n">
        <f aca="false">Rates!D2</f>
        <v>540</v>
      </c>
      <c r="F2" s="12" t="n">
        <f aca="false">C2*D2</f>
        <v>34340</v>
      </c>
      <c r="G2" s="12" t="n">
        <f aca="false">C2*E2</f>
        <v>61812</v>
      </c>
      <c r="H2" s="20" t="n">
        <v>1</v>
      </c>
      <c r="I2" s="20" t="s">
        <v>197</v>
      </c>
    </row>
    <row r="3" customFormat="false" ht="15" hidden="false" customHeight="false" outlineLevel="0" collapsed="false">
      <c r="A3" s="23" t="str">
        <f aca="false">Rates!A3</f>
        <v>SA</v>
      </c>
      <c r="B3" s="23" t="str">
        <f aca="false">Rates!B3</f>
        <v>System architect</v>
      </c>
      <c r="C3" s="7" t="n">
        <f aca="false">SUMPRODUCT(WBS!$K$4:$K$37,WBS!W$4:W$37)</f>
        <v>43.95</v>
      </c>
      <c r="D3" s="13" t="n">
        <f aca="false">Rates!C3</f>
        <v>340</v>
      </c>
      <c r="E3" s="13" t="n">
        <f aca="false">Rates!D3</f>
        <v>610</v>
      </c>
      <c r="F3" s="12" t="n">
        <f aca="false">C3*D3</f>
        <v>14943</v>
      </c>
      <c r="G3" s="12" t="n">
        <f aca="false">C3*E3</f>
        <v>26809.5</v>
      </c>
      <c r="H3" s="20" t="n">
        <v>1</v>
      </c>
      <c r="I3" s="20" t="s">
        <v>197</v>
      </c>
    </row>
    <row r="4" customFormat="false" ht="15" hidden="false" customHeight="false" outlineLevel="0" collapsed="false">
      <c r="A4" s="23" t="str">
        <f aca="false">Rates!A4</f>
        <v>ROS</v>
      </c>
      <c r="B4" s="23" t="str">
        <f aca="false">Rates!B4</f>
        <v>Robotics engineer (ROS 2, MoveIt 2)</v>
      </c>
      <c r="C4" s="7" t="n">
        <f aca="false">SUMPRODUCT(WBS!$K$4:$K$37,WBS!X$4:X$37)</f>
        <v>119.433333333333</v>
      </c>
      <c r="D4" s="13" t="n">
        <f aca="false">Rates!C4</f>
        <v>300</v>
      </c>
      <c r="E4" s="13" t="n">
        <f aca="false">Rates!D4</f>
        <v>540</v>
      </c>
      <c r="F4" s="12" t="n">
        <f aca="false">C4*D4</f>
        <v>35830</v>
      </c>
      <c r="G4" s="12" t="n">
        <f aca="false">C4*E4</f>
        <v>64494</v>
      </c>
      <c r="H4" s="20" t="n">
        <v>1.48</v>
      </c>
      <c r="I4" s="20" t="s">
        <v>198</v>
      </c>
    </row>
    <row r="5" customFormat="false" ht="15" hidden="false" customHeight="false" outlineLevel="0" collapsed="false">
      <c r="A5" s="23" t="str">
        <f aca="false">Rates!A5</f>
        <v>CV</v>
      </c>
      <c r="B5" s="23" t="str">
        <f aca="false">Rates!B5</f>
        <v>CV/ML engineer</v>
      </c>
      <c r="C5" s="7" t="n">
        <f aca="false">SUMPRODUCT(WBS!$K$4:$K$37,WBS!Y$4:Y$37)</f>
        <v>101.783333333333</v>
      </c>
      <c r="D5" s="13" t="n">
        <f aca="false">Rates!C5</f>
        <v>320</v>
      </c>
      <c r="E5" s="13" t="n">
        <f aca="false">Rates!D5</f>
        <v>580</v>
      </c>
      <c r="F5" s="12" t="n">
        <f aca="false">C5*D5</f>
        <v>32570.6666666667</v>
      </c>
      <c r="G5" s="12" t="n">
        <f aca="false">C5*E5</f>
        <v>59034.3333333333</v>
      </c>
      <c r="H5" s="20" t="n">
        <v>1</v>
      </c>
      <c r="I5" s="20" t="s">
        <v>198</v>
      </c>
    </row>
    <row r="6" customFormat="false" ht="15" hidden="false" customHeight="false" outlineLevel="0" collapsed="false">
      <c r="A6" s="23" t="str">
        <f aca="false">Rates!A6</f>
        <v>SW</v>
      </c>
      <c r="B6" s="23" t="str">
        <f aca="false">Rates!B6</f>
        <v>Software engineer (HMI, on-prem, MLOps)</v>
      </c>
      <c r="C6" s="7" t="n">
        <f aca="false">SUMPRODUCT(WBS!$K$4:$K$37,WBS!Z$4:Z$37)</f>
        <v>70.8</v>
      </c>
      <c r="D6" s="13" t="n">
        <f aca="false">Rates!C6</f>
        <v>260</v>
      </c>
      <c r="E6" s="13" t="n">
        <f aca="false">Rates!D6</f>
        <v>470</v>
      </c>
      <c r="F6" s="12" t="n">
        <f aca="false">C6*D6</f>
        <v>18408</v>
      </c>
      <c r="G6" s="12" t="n">
        <f aca="false">C6*E6</f>
        <v>33276</v>
      </c>
      <c r="H6" s="20" t="n">
        <v>1.59</v>
      </c>
      <c r="I6" s="20" t="s">
        <v>199</v>
      </c>
    </row>
    <row r="7" customFormat="false" ht="15" hidden="false" customHeight="false" outlineLevel="0" collapsed="false">
      <c r="A7" s="23" t="str">
        <f aca="false">Rates!A7</f>
        <v>FW</v>
      </c>
      <c r="B7" s="23" t="str">
        <f aca="false">Rates!B7</f>
        <v>Firmware engineer</v>
      </c>
      <c r="C7" s="7" t="n">
        <f aca="false">SUMPRODUCT(WBS!$K$4:$K$37,WBS!AA$4:AA$37)</f>
        <v>33.5666666666667</v>
      </c>
      <c r="D7" s="13" t="n">
        <f aca="false">Rates!C7</f>
        <v>280</v>
      </c>
      <c r="E7" s="13" t="n">
        <f aca="false">Rates!D7</f>
        <v>500</v>
      </c>
      <c r="F7" s="12" t="n">
        <f aca="false">C7*D7</f>
        <v>9398.66666666667</v>
      </c>
      <c r="G7" s="12" t="n">
        <f aca="false">C7*E7</f>
        <v>16783.3333333333</v>
      </c>
      <c r="H7" s="20" t="n">
        <v>1</v>
      </c>
      <c r="I7" s="20" t="s">
        <v>200</v>
      </c>
    </row>
    <row r="8" customFormat="false" ht="15" hidden="false" customHeight="false" outlineLevel="0" collapsed="false">
      <c r="A8" s="23" t="str">
        <f aca="false">Rates!A8</f>
        <v>HW</v>
      </c>
      <c r="B8" s="23" t="str">
        <f aca="false">Rates!B8</f>
        <v>Hardware engineer</v>
      </c>
      <c r="C8" s="7" t="n">
        <f aca="false">SUMPRODUCT(WBS!$K$4:$K$37,WBS!AB$4:AB$37)</f>
        <v>58.3666666666667</v>
      </c>
      <c r="D8" s="13" t="n">
        <f aca="false">Rates!C8</f>
        <v>280</v>
      </c>
      <c r="E8" s="13" t="n">
        <f aca="false">Rates!D8</f>
        <v>500</v>
      </c>
      <c r="F8" s="12" t="n">
        <f aca="false">C8*D8</f>
        <v>16342.6666666667</v>
      </c>
      <c r="G8" s="12" t="n">
        <f aca="false">C8*E8</f>
        <v>29183.3333333333</v>
      </c>
      <c r="H8" s="20" t="n">
        <v>1</v>
      </c>
      <c r="I8" s="20" t="s">
        <v>201</v>
      </c>
    </row>
    <row r="9" customFormat="false" ht="15" hidden="false" customHeight="false" outlineLevel="0" collapsed="false">
      <c r="A9" s="23" t="str">
        <f aca="false">Rates!A9</f>
        <v>ME</v>
      </c>
      <c r="B9" s="23" t="str">
        <f aca="false">Rates!B9</f>
        <v>Mechanical engineer</v>
      </c>
      <c r="C9" s="7" t="n">
        <f aca="false">SUMPRODUCT(WBS!$K$4:$K$37,WBS!AC$4:AC$37)</f>
        <v>32.8333333333333</v>
      </c>
      <c r="D9" s="13" t="n">
        <f aca="false">Rates!C9</f>
        <v>250</v>
      </c>
      <c r="E9" s="13" t="n">
        <f aca="false">Rates!D9</f>
        <v>450</v>
      </c>
      <c r="F9" s="12" t="n">
        <f aca="false">C9*D9</f>
        <v>8208.33333333333</v>
      </c>
      <c r="G9" s="12" t="n">
        <f aca="false">C9*E9</f>
        <v>14775</v>
      </c>
      <c r="H9" s="20" t="n">
        <v>1</v>
      </c>
      <c r="I9" s="20" t="s">
        <v>202</v>
      </c>
    </row>
    <row r="10" customFormat="false" ht="15" hidden="false" customHeight="false" outlineLevel="0" collapsed="false">
      <c r="A10" s="23" t="str">
        <f aca="false">Rates!A10</f>
        <v>SAF</v>
      </c>
      <c r="B10" s="23" t="str">
        <f aca="false">Rates!B10</f>
        <v>Safety engineer (part-time)</v>
      </c>
      <c r="C10" s="7" t="n">
        <f aca="false">SUMPRODUCT(WBS!$K$4:$K$37,WBS!AD$4:AD$37)</f>
        <v>14.2833333333333</v>
      </c>
      <c r="D10" s="13" t="n">
        <f aca="false">Rates!C10</f>
        <v>360</v>
      </c>
      <c r="E10" s="13" t="n">
        <f aca="false">Rates!D10</f>
        <v>650</v>
      </c>
      <c r="F10" s="12" t="n">
        <f aca="false">C10*D10</f>
        <v>5142</v>
      </c>
      <c r="G10" s="12" t="n">
        <f aca="false">C10*E10</f>
        <v>9284.16666666667</v>
      </c>
      <c r="H10" s="20" t="n">
        <v>0.97</v>
      </c>
      <c r="I10" s="20" t="s">
        <v>203</v>
      </c>
    </row>
    <row r="11" customFormat="false" ht="15" hidden="false" customHeight="false" outlineLevel="0" collapsed="false">
      <c r="A11" s="23" t="str">
        <f aca="false">Rates!A11</f>
        <v>QA</v>
      </c>
      <c r="B11" s="23" t="str">
        <f aca="false">Rates!B11</f>
        <v>V&amp;V / test engineer</v>
      </c>
      <c r="C11" s="7" t="n">
        <f aca="false">SUMPRODUCT(WBS!$K$4:$K$37,WBS!AE$4:AE$37)</f>
        <v>36.0333333333333</v>
      </c>
      <c r="D11" s="13" t="n">
        <f aca="false">Rates!C11</f>
        <v>220</v>
      </c>
      <c r="E11" s="13" t="n">
        <f aca="false">Rates!D11</f>
        <v>400</v>
      </c>
      <c r="F11" s="12" t="n">
        <f aca="false">C11*D11</f>
        <v>7927.33333333333</v>
      </c>
      <c r="G11" s="12" t="n">
        <f aca="false">C11*E11</f>
        <v>14413.3333333333</v>
      </c>
      <c r="H11" s="20" t="n">
        <v>0.98</v>
      </c>
      <c r="I11" s="20" t="s">
        <v>204</v>
      </c>
    </row>
    <row r="12" customFormat="false" ht="15" hidden="false" customHeight="false" outlineLevel="0" collapsed="false">
      <c r="A12" s="23" t="str">
        <f aca="false">Rates!A12</f>
        <v>TECH</v>
      </c>
      <c r="B12" s="23" t="str">
        <f aca="false">Rates!B12</f>
        <v>Technician (assembly, harness)</v>
      </c>
      <c r="C12" s="7" t="n">
        <f aca="false">SUMPRODUCT(WBS!$K$4:$K$37,WBS!AF$4:AF$37)</f>
        <v>43.5833333333333</v>
      </c>
      <c r="D12" s="13" t="n">
        <f aca="false">Rates!C12</f>
        <v>140</v>
      </c>
      <c r="E12" s="13" t="n">
        <f aca="false">Rates!D12</f>
        <v>250</v>
      </c>
      <c r="F12" s="12" t="n">
        <f aca="false">C12*D12</f>
        <v>6101.66666666667</v>
      </c>
      <c r="G12" s="12" t="n">
        <f aca="false">C12*E12</f>
        <v>10895.8333333333</v>
      </c>
      <c r="H12" s="20" t="n">
        <v>1.93</v>
      </c>
      <c r="I12" s="20" t="s">
        <v>205</v>
      </c>
    </row>
    <row r="13" customFormat="false" ht="15" hidden="false" customHeight="false" outlineLevel="0" collapsed="false">
      <c r="A13" s="23" t="str">
        <f aca="false">Rates!A13</f>
        <v>PROC</v>
      </c>
      <c r="B13" s="23" t="str">
        <f aca="false">Rates!B13</f>
        <v>Procurement manager</v>
      </c>
      <c r="C13" s="7" t="n">
        <f aca="false">SUMPRODUCT(WBS!$K$4:$K$37,WBS!AG$4:AG$37)</f>
        <v>20.9</v>
      </c>
      <c r="D13" s="13" t="n">
        <f aca="false">Rates!C13</f>
        <v>180</v>
      </c>
      <c r="E13" s="13" t="n">
        <f aca="false">Rates!D13</f>
        <v>320</v>
      </c>
      <c r="F13" s="12" t="n">
        <f aca="false">C13*D13</f>
        <v>3762</v>
      </c>
      <c r="G13" s="12" t="n">
        <f aca="false">C13*E13</f>
        <v>6688</v>
      </c>
      <c r="H13" s="20" t="n">
        <v>0.5</v>
      </c>
      <c r="I13" s="20" t="s">
        <v>206</v>
      </c>
    </row>
    <row r="14" customFormat="false" ht="15" hidden="false" customHeight="false" outlineLevel="0" collapsed="false">
      <c r="B14" s="3" t="s">
        <v>41</v>
      </c>
      <c r="C14" s="21" t="n">
        <f aca="false">SUM(C2:C13)</f>
        <v>690</v>
      </c>
      <c r="F14" s="14" t="n">
        <f aca="false">SUM(F2:F13)</f>
        <v>192974.333333333</v>
      </c>
      <c r="G14" s="14" t="n">
        <f aca="false">SUM(G2:G13)</f>
        <v>347448.833333333</v>
      </c>
    </row>
    <row r="15" customFormat="false" ht="15" hidden="false" customHeight="false" outlineLevel="0" collapsed="false">
      <c r="B15" s="15" t="s">
        <v>207</v>
      </c>
      <c r="G15" s="16" t="n">
        <f aca="false">G14/F14</f>
        <v>1.8004924661829</v>
      </c>
    </row>
    <row r="17" customFormat="false" ht="15" hidden="false" customHeight="false" outlineLevel="0" collapsed="false">
      <c r="B17" s="10" t="s">
        <v>208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8"/>
    <col collapsed="false" customWidth="true" hidden="false" outlineLevel="0" max="3" min="3" style="0" width="8"/>
    <col collapsed="false" customWidth="true" hidden="false" outlineLevel="0" max="5" min="4" style="0" width="11"/>
    <col collapsed="false" customWidth="true" hidden="false" outlineLevel="0" max="6" min="6" style="0" width="13"/>
    <col collapsed="false" customWidth="true" hidden="false" outlineLevel="0" max="8" min="7" style="0" width="10"/>
    <col collapsed="false" customWidth="true" hidden="false" outlineLevel="0" max="9" min="9" style="0" width="13"/>
    <col collapsed="false" customWidth="true" hidden="false" outlineLevel="0" max="10" min="10" style="0" width="14"/>
  </cols>
  <sheetData>
    <row r="1" customFormat="false" ht="26.85" hidden="false" customHeight="false" outlineLevel="0" collapsed="false">
      <c r="A1" s="4" t="s">
        <v>82</v>
      </c>
      <c r="B1" s="4" t="s">
        <v>209</v>
      </c>
      <c r="C1" s="4" t="s">
        <v>210</v>
      </c>
      <c r="D1" s="4" t="s">
        <v>211</v>
      </c>
      <c r="E1" s="4" t="s">
        <v>212</v>
      </c>
      <c r="F1" s="4" t="s">
        <v>213</v>
      </c>
      <c r="G1" s="4" t="s">
        <v>214</v>
      </c>
      <c r="H1" s="4" t="s">
        <v>215</v>
      </c>
      <c r="I1" s="4" t="s">
        <v>216</v>
      </c>
      <c r="J1" s="4" t="s">
        <v>217</v>
      </c>
    </row>
    <row r="2" customFormat="false" ht="15" hidden="false" customHeight="false" outlineLevel="0" collapsed="false">
      <c r="A2" s="5" t="s">
        <v>218</v>
      </c>
      <c r="B2" s="5" t="s">
        <v>219</v>
      </c>
      <c r="C2" s="5" t="s">
        <v>134</v>
      </c>
      <c r="D2" s="25" t="n">
        <v>0.3</v>
      </c>
      <c r="E2" s="20" t="n">
        <v>20</v>
      </c>
      <c r="F2" s="11" t="n">
        <v>0</v>
      </c>
      <c r="G2" s="7" t="n">
        <f aca="false">D2*E2</f>
        <v>6</v>
      </c>
      <c r="H2" s="12" t="n">
        <f aca="false">D2*F2</f>
        <v>0</v>
      </c>
      <c r="I2" s="9" t="n">
        <f aca="false">WBS!Q15</f>
        <v>40.8333333333333</v>
      </c>
      <c r="J2" s="5" t="str">
        <f aca="false">IF(I2&lt;E2,"yes","absorbed")</f>
        <v>absorbed</v>
      </c>
    </row>
    <row r="3" customFormat="false" ht="15" hidden="false" customHeight="false" outlineLevel="0" collapsed="false">
      <c r="A3" s="5" t="s">
        <v>220</v>
      </c>
      <c r="B3" s="5" t="s">
        <v>221</v>
      </c>
      <c r="C3" s="5" t="s">
        <v>172</v>
      </c>
      <c r="D3" s="25" t="n">
        <v>0.4</v>
      </c>
      <c r="E3" s="20" t="n">
        <v>10</v>
      </c>
      <c r="F3" s="11" t="n">
        <v>0</v>
      </c>
      <c r="G3" s="7" t="n">
        <f aca="false">D3*E3</f>
        <v>4</v>
      </c>
      <c r="H3" s="12" t="n">
        <f aca="false">D3*F3</f>
        <v>0</v>
      </c>
      <c r="I3" s="9" t="n">
        <f aca="false">WBS!Q32</f>
        <v>0</v>
      </c>
      <c r="J3" s="5" t="str">
        <f aca="false">IF(I3&lt;E3,"yes","absorbed")</f>
        <v>yes</v>
      </c>
    </row>
    <row r="4" customFormat="false" ht="15" hidden="false" customHeight="false" outlineLevel="0" collapsed="false">
      <c r="A4" s="5" t="s">
        <v>222</v>
      </c>
      <c r="B4" s="5" t="s">
        <v>223</v>
      </c>
      <c r="C4" s="5" t="s">
        <v>145</v>
      </c>
      <c r="D4" s="25" t="n">
        <v>0.3</v>
      </c>
      <c r="E4" s="20" t="n">
        <v>15</v>
      </c>
      <c r="F4" s="11" t="n">
        <v>1500</v>
      </c>
      <c r="G4" s="7" t="n">
        <f aca="false">D4*E4</f>
        <v>4.5</v>
      </c>
      <c r="H4" s="12" t="n">
        <f aca="false">D4*F4</f>
        <v>450</v>
      </c>
      <c r="I4" s="9" t="n">
        <f aca="false">WBS!Q20</f>
        <v>0</v>
      </c>
      <c r="J4" s="5" t="str">
        <f aca="false">IF(I4&lt;E4,"yes","absorbed")</f>
        <v>yes</v>
      </c>
    </row>
    <row r="5" customFormat="false" ht="15" hidden="false" customHeight="false" outlineLevel="0" collapsed="false">
      <c r="A5" s="5" t="s">
        <v>224</v>
      </c>
      <c r="B5" s="5" t="s">
        <v>225</v>
      </c>
      <c r="C5" s="5" t="s">
        <v>165</v>
      </c>
      <c r="D5" s="25" t="n">
        <v>0.4</v>
      </c>
      <c r="E5" s="20" t="n">
        <v>10</v>
      </c>
      <c r="F5" s="11" t="n">
        <v>0</v>
      </c>
      <c r="G5" s="7" t="n">
        <f aca="false">D5*E5</f>
        <v>4</v>
      </c>
      <c r="H5" s="12" t="n">
        <f aca="false">D5*F5</f>
        <v>0</v>
      </c>
      <c r="I5" s="9" t="n">
        <f aca="false">WBS!Q29</f>
        <v>65.3333333333333</v>
      </c>
      <c r="J5" s="5" t="str">
        <f aca="false">IF(I5&lt;E5,"yes","absorbed")</f>
        <v>absorbed</v>
      </c>
    </row>
    <row r="6" customFormat="false" ht="15" hidden="false" customHeight="false" outlineLevel="0" collapsed="false">
      <c r="A6" s="5" t="s">
        <v>226</v>
      </c>
      <c r="B6" s="5" t="s">
        <v>227</v>
      </c>
      <c r="C6" s="5" t="s">
        <v>120</v>
      </c>
      <c r="D6" s="25" t="n">
        <v>0.25</v>
      </c>
      <c r="E6" s="20" t="n">
        <v>8</v>
      </c>
      <c r="F6" s="11" t="n">
        <v>0</v>
      </c>
      <c r="G6" s="7" t="n">
        <f aca="false">D6*E6</f>
        <v>2</v>
      </c>
      <c r="H6" s="12" t="n">
        <f aca="false">D6*F6</f>
        <v>0</v>
      </c>
      <c r="I6" s="9" t="n">
        <f aca="false">WBS!Q10</f>
        <v>3.16666666666668</v>
      </c>
      <c r="J6" s="5" t="str">
        <f aca="false">IF(I6&lt;E6,"yes","absorbed")</f>
        <v>yes</v>
      </c>
    </row>
    <row r="7" customFormat="false" ht="15" hidden="false" customHeight="false" outlineLevel="0" collapsed="false">
      <c r="A7" s="5" t="s">
        <v>228</v>
      </c>
      <c r="B7" s="5" t="s">
        <v>229</v>
      </c>
      <c r="C7" s="5" t="s">
        <v>170</v>
      </c>
      <c r="D7" s="25" t="n">
        <v>0.25</v>
      </c>
      <c r="E7" s="20" t="n">
        <v>10</v>
      </c>
      <c r="F7" s="11" t="n">
        <v>3000</v>
      </c>
      <c r="G7" s="7" t="n">
        <f aca="false">D7*E7</f>
        <v>2.5</v>
      </c>
      <c r="H7" s="12" t="n">
        <f aca="false">D7*F7</f>
        <v>750</v>
      </c>
      <c r="I7" s="9" t="n">
        <f aca="false">WBS!Q31</f>
        <v>4</v>
      </c>
      <c r="J7" s="5" t="str">
        <f aca="false">IF(I7&lt;E7,"yes","absorbed")</f>
        <v>yes</v>
      </c>
    </row>
    <row r="8" customFormat="false" ht="15" hidden="false" customHeight="false" outlineLevel="0" collapsed="false">
      <c r="A8" s="5" t="s">
        <v>230</v>
      </c>
      <c r="B8" s="5" t="s">
        <v>231</v>
      </c>
      <c r="C8" s="5" t="s">
        <v>163</v>
      </c>
      <c r="D8" s="25" t="n">
        <v>0.1</v>
      </c>
      <c r="E8" s="20" t="n">
        <v>15</v>
      </c>
      <c r="F8" s="11" t="n">
        <v>0</v>
      </c>
      <c r="G8" s="7" t="n">
        <f aca="false">D8*E8</f>
        <v>1.5</v>
      </c>
      <c r="H8" s="12" t="n">
        <f aca="false">D8*F8</f>
        <v>0</v>
      </c>
      <c r="I8" s="9" t="n">
        <f aca="false">WBS!Q28</f>
        <v>54</v>
      </c>
      <c r="J8" s="5" t="str">
        <f aca="false">IF(I8&lt;E8,"yes","absorbed")</f>
        <v>absorbed</v>
      </c>
    </row>
    <row r="9" customFormat="false" ht="15" hidden="false" customHeight="false" outlineLevel="0" collapsed="false">
      <c r="A9" s="5" t="s">
        <v>232</v>
      </c>
      <c r="B9" s="5" t="s">
        <v>233</v>
      </c>
      <c r="C9" s="5" t="s">
        <v>179</v>
      </c>
      <c r="D9" s="25" t="n">
        <v>0.4</v>
      </c>
      <c r="E9" s="20" t="n">
        <v>7</v>
      </c>
      <c r="F9" s="11" t="n">
        <v>500</v>
      </c>
      <c r="G9" s="7" t="n">
        <f aca="false">D9*E9</f>
        <v>2.8</v>
      </c>
      <c r="H9" s="12" t="n">
        <f aca="false">D9*F9</f>
        <v>200</v>
      </c>
      <c r="I9" s="9" t="n">
        <f aca="false">WBS!Q34</f>
        <v>0</v>
      </c>
      <c r="J9" s="5" t="str">
        <f aca="false">IF(I9&lt;E9,"yes","absorbed")</f>
        <v>yes</v>
      </c>
    </row>
    <row r="10" customFormat="false" ht="15" hidden="false" customHeight="false" outlineLevel="0" collapsed="false">
      <c r="B10" s="3" t="s">
        <v>234</v>
      </c>
      <c r="G10" s="21" t="n">
        <f aca="false">SUM(G2:G9)</f>
        <v>27.3</v>
      </c>
      <c r="H10" s="14" t="n">
        <f aca="false">SUM(H2:H9)</f>
        <v>1400</v>
      </c>
    </row>
    <row r="12" customFormat="false" ht="15" hidden="false" customHeight="false" outlineLevel="0" collapsed="false">
      <c r="B12" s="15" t="s">
        <v>235</v>
      </c>
      <c r="G12" s="20" t="n">
        <v>12.5</v>
      </c>
      <c r="H12" s="20" t="n">
        <v>16.1</v>
      </c>
    </row>
    <row r="13" customFormat="false" ht="15" hidden="false" customHeight="false" outlineLevel="0" collapsed="false">
      <c r="B13" s="10" t="s">
        <v>236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5" min="5" style="0" width="18"/>
  </cols>
  <sheetData>
    <row r="1" customFormat="false" ht="26.85" hidden="false" customHeight="false" outlineLevel="0" collapsed="false">
      <c r="A1" s="4" t="s">
        <v>237</v>
      </c>
      <c r="B1" s="4" t="s">
        <v>238</v>
      </c>
      <c r="C1" s="4" t="s">
        <v>84</v>
      </c>
      <c r="D1" s="4" t="s">
        <v>239</v>
      </c>
      <c r="E1" s="4" t="s">
        <v>240</v>
      </c>
    </row>
    <row r="2" customFormat="false" ht="15" hidden="false" customHeight="false" outlineLevel="0" collapsed="false">
      <c r="A2" s="5" t="s">
        <v>241</v>
      </c>
      <c r="B2" s="5" t="s">
        <v>242</v>
      </c>
      <c r="C2" s="5" t="s">
        <v>31</v>
      </c>
      <c r="D2" s="11" t="n">
        <v>4600</v>
      </c>
      <c r="E2" s="12" t="n">
        <f aca="false">D2*(1+Rates!$C$16)</f>
        <v>4968</v>
      </c>
    </row>
    <row r="3" customFormat="false" ht="15" hidden="false" customHeight="false" outlineLevel="0" collapsed="false">
      <c r="A3" s="5" t="s">
        <v>243</v>
      </c>
      <c r="B3" s="5" t="s">
        <v>242</v>
      </c>
      <c r="C3" s="5" t="s">
        <v>129</v>
      </c>
      <c r="D3" s="11" t="n">
        <v>30000</v>
      </c>
      <c r="E3" s="12" t="n">
        <f aca="false">D3*(1+Rates!$C$16)</f>
        <v>32400</v>
      </c>
    </row>
    <row r="4" customFormat="false" ht="15" hidden="false" customHeight="false" outlineLevel="0" collapsed="false">
      <c r="A4" s="5" t="s">
        <v>244</v>
      </c>
      <c r="B4" s="5" t="s">
        <v>242</v>
      </c>
      <c r="C4" s="5" t="s">
        <v>129</v>
      </c>
      <c r="D4" s="11" t="n">
        <v>2500</v>
      </c>
      <c r="E4" s="12" t="n">
        <f aca="false">D4*(1+Rates!$C$16)</f>
        <v>2700</v>
      </c>
    </row>
    <row r="5" customFormat="false" ht="15" hidden="false" customHeight="false" outlineLevel="0" collapsed="false">
      <c r="A5" s="5" t="s">
        <v>245</v>
      </c>
      <c r="B5" s="5" t="s">
        <v>242</v>
      </c>
      <c r="C5" s="5" t="s">
        <v>129</v>
      </c>
      <c r="D5" s="11" t="n">
        <v>4500</v>
      </c>
      <c r="E5" s="12" t="n">
        <f aca="false">D5*(1+Rates!$C$16)</f>
        <v>4860</v>
      </c>
    </row>
    <row r="6" customFormat="false" ht="15" hidden="false" customHeight="false" outlineLevel="0" collapsed="false">
      <c r="A6" s="5" t="s">
        <v>246</v>
      </c>
      <c r="B6" s="5" t="s">
        <v>242</v>
      </c>
      <c r="C6" s="5" t="s">
        <v>129</v>
      </c>
      <c r="D6" s="11" t="n">
        <v>2800</v>
      </c>
      <c r="E6" s="12" t="n">
        <f aca="false">D6*(1+Rates!$C$16)</f>
        <v>3024</v>
      </c>
    </row>
    <row r="7" customFormat="false" ht="15" hidden="false" customHeight="false" outlineLevel="0" collapsed="false">
      <c r="A7" s="5" t="s">
        <v>247</v>
      </c>
      <c r="B7" s="5" t="s">
        <v>242</v>
      </c>
      <c r="C7" s="5" t="s">
        <v>129</v>
      </c>
      <c r="D7" s="11" t="n">
        <v>12000</v>
      </c>
      <c r="E7" s="12" t="n">
        <f aca="false">D7*(1+Rates!$C$16)</f>
        <v>12960</v>
      </c>
    </row>
    <row r="8" customFormat="false" ht="15" hidden="false" customHeight="false" outlineLevel="0" collapsed="false">
      <c r="A8" s="5" t="s">
        <v>248</v>
      </c>
      <c r="B8" s="5" t="s">
        <v>242</v>
      </c>
      <c r="C8" s="5" t="s">
        <v>129</v>
      </c>
      <c r="D8" s="11" t="n">
        <v>3000</v>
      </c>
      <c r="E8" s="12" t="n">
        <f aca="false">D8*(1+Rates!$C$16)</f>
        <v>3240</v>
      </c>
    </row>
    <row r="9" customFormat="false" ht="15" hidden="false" customHeight="false" outlineLevel="0" collapsed="false">
      <c r="A9" s="5" t="s">
        <v>249</v>
      </c>
      <c r="B9" s="5" t="s">
        <v>242</v>
      </c>
      <c r="C9" s="5" t="s">
        <v>129</v>
      </c>
      <c r="D9" s="11" t="n">
        <v>2500</v>
      </c>
      <c r="E9" s="12" t="n">
        <f aca="false">D9*(1+Rates!$C$16)</f>
        <v>2700</v>
      </c>
    </row>
    <row r="10" customFormat="false" ht="15" hidden="false" customHeight="false" outlineLevel="0" collapsed="false">
      <c r="A10" s="5" t="s">
        <v>250</v>
      </c>
      <c r="B10" s="5" t="s">
        <v>251</v>
      </c>
      <c r="C10" s="5" t="s">
        <v>129</v>
      </c>
      <c r="D10" s="11" t="n">
        <v>3000</v>
      </c>
      <c r="E10" s="12" t="n">
        <f aca="false">D10*(1+Rates!$C$16)</f>
        <v>3240</v>
      </c>
    </row>
    <row r="11" customFormat="false" ht="15" hidden="false" customHeight="false" outlineLevel="0" collapsed="false">
      <c r="A11" s="5" t="s">
        <v>252</v>
      </c>
      <c r="B11" s="5" t="s">
        <v>251</v>
      </c>
      <c r="C11" s="5" t="s">
        <v>129</v>
      </c>
      <c r="D11" s="11" t="n">
        <v>9000</v>
      </c>
      <c r="E11" s="12" t="n">
        <f aca="false">D11*(1+Rates!$C$16)</f>
        <v>9720</v>
      </c>
    </row>
    <row r="12" customFormat="false" ht="15" hidden="false" customHeight="false" outlineLevel="0" collapsed="false">
      <c r="A12" s="5" t="s">
        <v>253</v>
      </c>
      <c r="B12" s="5" t="s">
        <v>251</v>
      </c>
      <c r="C12" s="5" t="s">
        <v>129</v>
      </c>
      <c r="D12" s="11" t="n">
        <v>800</v>
      </c>
      <c r="E12" s="12" t="n">
        <f aca="false">D12*(1+Rates!$C$16)</f>
        <v>864</v>
      </c>
    </row>
    <row r="13" customFormat="false" ht="15" hidden="false" customHeight="false" outlineLevel="0" collapsed="false">
      <c r="A13" s="5" t="s">
        <v>254</v>
      </c>
      <c r="B13" s="5" t="s">
        <v>251</v>
      </c>
      <c r="C13" s="5" t="s">
        <v>129</v>
      </c>
      <c r="D13" s="11" t="n">
        <v>3500</v>
      </c>
      <c r="E13" s="12" t="n">
        <f aca="false">D13*(1+Rates!$C$16)</f>
        <v>3780</v>
      </c>
    </row>
    <row r="14" customFormat="false" ht="15" hidden="false" customHeight="false" outlineLevel="0" collapsed="false">
      <c r="A14" s="3" t="s">
        <v>41</v>
      </c>
      <c r="D14" s="14" t="n">
        <f aca="false">SUM(D2:D13)</f>
        <v>78200</v>
      </c>
      <c r="E14" s="14" t="n">
        <f aca="false">SUM(E2:E13)</f>
        <v>84456</v>
      </c>
    </row>
    <row r="15" customFormat="false" ht="15" hidden="false" customHeight="false" outlineLevel="0" collapsed="false">
      <c r="A15" s="10" t="s">
        <v>255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2026-11-03T20:55:26Z</dcterms:created>
  <dc:creator>openpyxl</dc:creator>
  <dc:description/>
  <dc:language>en-US</dc:language>
  <cp:lastModifiedBy/>
  <dcterms:modified xsi:type="dcterms:W3CDTF">2026-11-03T20:55:27Z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